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udistritaleduco-my.sharepoint.com/personal/kariverar_udistrital_edu_co/Documents/Equipo presupuestal/Programación presupuestal 2026/"/>
    </mc:Choice>
  </mc:AlternateContent>
  <xr:revisionPtr revIDLastSave="1631" documentId="13_ncr:1_{C44D5219-2A2C-4BB8-9F31-8375AB69DCD3}" xr6:coauthVersionLast="47" xr6:coauthVersionMax="47" xr10:uidLastSave="{C9A8DF1D-B6C8-4E29-93BD-7770D95DF086}"/>
  <bookViews>
    <workbookView xWindow="-120" yWindow="-120" windowWidth="29040" windowHeight="15720" xr2:uid="{178C1BCF-2801-4914-93F1-A9BA4DB74CCA}"/>
  </bookViews>
  <sheets>
    <sheet name="EJECUCIÓN UD" sheetId="14" r:id="rId1"/>
  </sheets>
  <definedNames>
    <definedName name="_xlnm._FilterDatabase" localSheetId="0" hidden="1">'EJECUCIÓN UD'!$C$11:$Q$922</definedName>
    <definedName name="IPC" localSheetId="0">#REF!</definedName>
    <definedName name="IPC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821" i="14" l="1"/>
  <c r="Q822" i="14"/>
  <c r="Q823" i="14"/>
  <c r="R182" i="14"/>
  <c r="R185" i="14"/>
  <c r="R199" i="14"/>
  <c r="R193" i="14" s="1"/>
  <c r="R202" i="14"/>
  <c r="R212" i="14"/>
  <c r="R221" i="14"/>
  <c r="R229" i="14"/>
  <c r="R238" i="14"/>
  <c r="R253" i="14"/>
  <c r="R247" i="14" s="1"/>
  <c r="R256" i="14"/>
  <c r="R271" i="14"/>
  <c r="R265" i="14" s="1"/>
  <c r="R274" i="14"/>
  <c r="R282" i="14"/>
  <c r="R291" i="14"/>
  <c r="R306" i="14"/>
  <c r="R300" i="14" s="1"/>
  <c r="R309" i="14"/>
  <c r="R324" i="14"/>
  <c r="R318" i="14" s="1"/>
  <c r="R327" i="14"/>
  <c r="R341" i="14"/>
  <c r="R335" i="14" s="1"/>
  <c r="R344" i="14"/>
  <c r="R356" i="14"/>
  <c r="R355" i="14" s="1"/>
  <c r="R354" i="14" s="1"/>
  <c r="R364" i="14"/>
  <c r="R367" i="14"/>
  <c r="R366" i="14" s="1"/>
  <c r="R373" i="14"/>
  <c r="R376" i="14"/>
  <c r="R383" i="14"/>
  <c r="R382" i="14" s="1"/>
  <c r="R381" i="14" s="1"/>
  <c r="R380" i="14" s="1"/>
  <c r="R387" i="14"/>
  <c r="R386" i="14" s="1"/>
  <c r="R395" i="14"/>
  <c r="R397" i="14"/>
  <c r="R401" i="14"/>
  <c r="R400" i="14" s="1"/>
  <c r="R399" i="14" s="1"/>
  <c r="R405" i="14"/>
  <c r="R402" i="14" s="1"/>
  <c r="R408" i="14"/>
  <c r="R407" i="14" s="1"/>
  <c r="R414" i="14"/>
  <c r="R411" i="14" s="1"/>
  <c r="R418" i="14"/>
  <c r="R417" i="14" s="1"/>
  <c r="R422" i="14"/>
  <c r="R421" i="14" s="1"/>
  <c r="R420" i="14" s="1"/>
  <c r="R424" i="14"/>
  <c r="R426" i="14"/>
  <c r="R434" i="14"/>
  <c r="R433" i="14" s="1"/>
  <c r="R432" i="14" s="1"/>
  <c r="R431" i="14" s="1"/>
  <c r="R447" i="14"/>
  <c r="R451" i="14"/>
  <c r="R456" i="14"/>
  <c r="R455" i="14" s="1"/>
  <c r="R454" i="14" s="1"/>
  <c r="R459" i="14"/>
  <c r="R481" i="14"/>
  <c r="R469" i="14" s="1"/>
  <c r="R486" i="14"/>
  <c r="R485" i="14" s="1"/>
  <c r="R489" i="14"/>
  <c r="R488" i="14" s="1"/>
  <c r="R496" i="14"/>
  <c r="R495" i="14" s="1"/>
  <c r="R499" i="14"/>
  <c r="R501" i="14"/>
  <c r="R504" i="14"/>
  <c r="R506" i="14"/>
  <c r="R508" i="14"/>
  <c r="R510" i="14"/>
  <c r="R514" i="14"/>
  <c r="R513" i="14" s="1"/>
  <c r="R520" i="14"/>
  <c r="R517" i="14" s="1"/>
  <c r="R516" i="14" s="1"/>
  <c r="R527" i="14"/>
  <c r="R526" i="14" s="1"/>
  <c r="R536" i="14"/>
  <c r="R531" i="14" s="1"/>
  <c r="R530" i="14" s="1"/>
  <c r="R540" i="14"/>
  <c r="R547" i="14"/>
  <c r="R545" i="14" s="1"/>
  <c r="R551" i="14"/>
  <c r="R559" i="14"/>
  <c r="R561" i="14"/>
  <c r="R564" i="14"/>
  <c r="R563" i="14" s="1"/>
  <c r="R565" i="14"/>
  <c r="R568" i="14"/>
  <c r="R567" i="14" s="1"/>
  <c r="R569" i="14"/>
  <c r="R571" i="14"/>
  <c r="R586" i="14"/>
  <c r="R601" i="14"/>
  <c r="R604" i="14"/>
  <c r="R608" i="14"/>
  <c r="R611" i="14"/>
  <c r="R613" i="14"/>
  <c r="R614" i="14"/>
  <c r="R616" i="14"/>
  <c r="R618" i="14"/>
  <c r="R622" i="14"/>
  <c r="R624" i="14"/>
  <c r="R628" i="14"/>
  <c r="R627" i="14" s="1"/>
  <c r="R632" i="14"/>
  <c r="R639" i="14"/>
  <c r="R645" i="14"/>
  <c r="R650" i="14"/>
  <c r="R652" i="14"/>
  <c r="R656" i="14"/>
  <c r="R655" i="14" s="1"/>
  <c r="R654" i="14" s="1"/>
  <c r="R658" i="14"/>
  <c r="R660" i="14"/>
  <c r="R664" i="14"/>
  <c r="R666" i="14"/>
  <c r="R663" i="14" s="1"/>
  <c r="R669" i="14"/>
  <c r="R674" i="14"/>
  <c r="R676" i="14"/>
  <c r="R687" i="14"/>
  <c r="R680" i="14" s="1"/>
  <c r="R679" i="14" s="1"/>
  <c r="R693" i="14"/>
  <c r="R703" i="14"/>
  <c r="R704" i="14"/>
  <c r="R705" i="14"/>
  <c r="R722" i="14"/>
  <c r="R710" i="14" s="1"/>
  <c r="R725" i="14"/>
  <c r="R729" i="14"/>
  <c r="R731" i="14"/>
  <c r="R733" i="14"/>
  <c r="R737" i="14"/>
  <c r="R741" i="14"/>
  <c r="R739" i="14" s="1"/>
  <c r="R745" i="14"/>
  <c r="R743" i="14" s="1"/>
  <c r="R742" i="14" s="1"/>
  <c r="R748" i="14"/>
  <c r="R747" i="14" s="1"/>
  <c r="R751" i="14"/>
  <c r="R753" i="14"/>
  <c r="R757" i="14"/>
  <c r="R759" i="14"/>
  <c r="R761" i="14"/>
  <c r="R764" i="14"/>
  <c r="R766" i="14"/>
  <c r="R769" i="14"/>
  <c r="R768" i="14" s="1"/>
  <c r="R778" i="14"/>
  <c r="R774" i="14" s="1"/>
  <c r="R781" i="14"/>
  <c r="R795" i="14"/>
  <c r="R794" i="14" s="1"/>
  <c r="R793" i="14" s="1"/>
  <c r="R799" i="14"/>
  <c r="R801" i="14"/>
  <c r="R804" i="14"/>
  <c r="R806" i="14"/>
  <c r="R808" i="14"/>
  <c r="R810" i="14"/>
  <c r="R812" i="14"/>
  <c r="R814" i="14"/>
  <c r="R816" i="14"/>
  <c r="R818" i="14"/>
  <c r="R820" i="14"/>
  <c r="R828" i="14"/>
  <c r="R827" i="14" s="1"/>
  <c r="R826" i="14" s="1"/>
  <c r="R825" i="14" s="1"/>
  <c r="R830" i="14"/>
  <c r="R832" i="14"/>
  <c r="R834" i="14"/>
  <c r="R838" i="14"/>
  <c r="R837" i="14" s="1"/>
  <c r="R836" i="14" s="1"/>
  <c r="R841" i="14"/>
  <c r="R858" i="14"/>
  <c r="R843" i="14" s="1"/>
  <c r="R859" i="14"/>
  <c r="R867" i="14"/>
  <c r="R866" i="14" s="1"/>
  <c r="R870" i="14"/>
  <c r="R869" i="14" s="1"/>
  <c r="R874" i="14"/>
  <c r="R873" i="14" s="1"/>
  <c r="R872" i="14" s="1"/>
  <c r="R878" i="14"/>
  <c r="R877" i="14" s="1"/>
  <c r="R876" i="14" s="1"/>
  <c r="R883" i="14"/>
  <c r="R885" i="14"/>
  <c r="R889" i="14"/>
  <c r="R892" i="14"/>
  <c r="R894" i="14"/>
  <c r="R897" i="14"/>
  <c r="R896" i="14" s="1"/>
  <c r="R904" i="14"/>
  <c r="R903" i="14" s="1"/>
  <c r="R902" i="14" s="1"/>
  <c r="R901" i="14" s="1"/>
  <c r="R900" i="14" s="1"/>
  <c r="R919" i="14"/>
  <c r="R921" i="14"/>
  <c r="R176" i="14"/>
  <c r="R175" i="14" s="1"/>
  <c r="R167" i="14"/>
  <c r="R158" i="14"/>
  <c r="R157" i="14" s="1"/>
  <c r="R150" i="14"/>
  <c r="R146" i="14"/>
  <c r="R140" i="14"/>
  <c r="R139" i="14" s="1"/>
  <c r="R117" i="14"/>
  <c r="R119" i="14"/>
  <c r="R121" i="14"/>
  <c r="R123" i="14"/>
  <c r="R125" i="14"/>
  <c r="R127" i="14"/>
  <c r="R129" i="14"/>
  <c r="R132" i="14"/>
  <c r="R131" i="14" s="1"/>
  <c r="R133" i="14"/>
  <c r="R110" i="14"/>
  <c r="R112" i="14"/>
  <c r="R107" i="14"/>
  <c r="R106" i="14" s="1"/>
  <c r="R20" i="14"/>
  <c r="R19" i="14" s="1"/>
  <c r="R25" i="14"/>
  <c r="R24" i="14" s="1"/>
  <c r="R28" i="14"/>
  <c r="R27" i="14" s="1"/>
  <c r="R31" i="14"/>
  <c r="R30" i="14" s="1"/>
  <c r="R34" i="14"/>
  <c r="R33" i="14" s="1"/>
  <c r="R37" i="14"/>
  <c r="R36" i="14" s="1"/>
  <c r="R41" i="14"/>
  <c r="R45" i="14"/>
  <c r="R49" i="14"/>
  <c r="R50" i="14"/>
  <c r="R53" i="14"/>
  <c r="R58" i="14"/>
  <c r="R57" i="14" s="1"/>
  <c r="R63" i="14"/>
  <c r="R67" i="14"/>
  <c r="R72" i="14"/>
  <c r="R71" i="14" s="1"/>
  <c r="R77" i="14"/>
  <c r="R81" i="14"/>
  <c r="R86" i="14"/>
  <c r="R85" i="14" s="1"/>
  <c r="R91" i="14"/>
  <c r="R90" i="14" s="1"/>
  <c r="R96" i="14"/>
  <c r="R95" i="14" s="1"/>
  <c r="R101" i="14"/>
  <c r="R100" i="14" s="1"/>
  <c r="F136" i="14"/>
  <c r="H136" i="14"/>
  <c r="I136" i="14"/>
  <c r="J136" i="14"/>
  <c r="K136" i="14"/>
  <c r="L136" i="14"/>
  <c r="N136" i="14"/>
  <c r="F16" i="14"/>
  <c r="H16" i="14"/>
  <c r="I16" i="14"/>
  <c r="J16" i="14"/>
  <c r="L16" i="14"/>
  <c r="N16" i="14"/>
  <c r="F881" i="14"/>
  <c r="H881" i="14"/>
  <c r="I881" i="14"/>
  <c r="J881" i="14"/>
  <c r="L881" i="14"/>
  <c r="N881" i="14"/>
  <c r="F863" i="14"/>
  <c r="G863" i="14"/>
  <c r="I863" i="14"/>
  <c r="J863" i="14"/>
  <c r="L863" i="14"/>
  <c r="N863" i="14"/>
  <c r="F351" i="14"/>
  <c r="H351" i="14"/>
  <c r="I351" i="14"/>
  <c r="J351" i="14"/>
  <c r="L351" i="14"/>
  <c r="N351" i="14"/>
  <c r="F15" i="14"/>
  <c r="I15" i="14"/>
  <c r="H15" i="14"/>
  <c r="J15" i="14"/>
  <c r="L15" i="14"/>
  <c r="N15" i="14"/>
  <c r="F900" i="14"/>
  <c r="H900" i="14"/>
  <c r="J900" i="14"/>
  <c r="L900" i="14"/>
  <c r="N900" i="14"/>
  <c r="F14" i="14"/>
  <c r="H14" i="14"/>
  <c r="I14" i="14"/>
  <c r="J14" i="14"/>
  <c r="L14" i="14"/>
  <c r="N14" i="14"/>
  <c r="F13" i="14"/>
  <c r="G13" i="14"/>
  <c r="H13" i="14"/>
  <c r="I13" i="14"/>
  <c r="J13" i="14"/>
  <c r="K13" i="14"/>
  <c r="L13" i="14"/>
  <c r="M13" i="14"/>
  <c r="N13" i="14"/>
  <c r="P45" i="14"/>
  <c r="P722" i="14"/>
  <c r="P422" i="14"/>
  <c r="P687" i="14"/>
  <c r="P614" i="14"/>
  <c r="P613" i="14"/>
  <c r="P611" i="14"/>
  <c r="P564" i="14"/>
  <c r="P341" i="14"/>
  <c r="P324" i="14"/>
  <c r="P306" i="14"/>
  <c r="P271" i="14"/>
  <c r="P253" i="14"/>
  <c r="P199" i="14"/>
  <c r="P182" i="14"/>
  <c r="P146" i="14"/>
  <c r="Q688" i="14"/>
  <c r="Q644" i="14"/>
  <c r="P725" i="14"/>
  <c r="P604" i="14"/>
  <c r="P568" i="14"/>
  <c r="P520" i="14"/>
  <c r="P356" i="14"/>
  <c r="Q780" i="14"/>
  <c r="Q484" i="14"/>
  <c r="P801" i="14"/>
  <c r="P781" i="14"/>
  <c r="P669" i="14"/>
  <c r="P486" i="14"/>
  <c r="P387" i="14"/>
  <c r="Q453" i="14"/>
  <c r="P426" i="14"/>
  <c r="P424" i="14"/>
  <c r="P408" i="14"/>
  <c r="P894" i="14"/>
  <c r="P892" i="14"/>
  <c r="P885" i="14"/>
  <c r="P883" i="14"/>
  <c r="P882" i="14" s="1"/>
  <c r="P878" i="14"/>
  <c r="P874" i="14"/>
  <c r="P870" i="14"/>
  <c r="P867" i="14"/>
  <c r="P859" i="14"/>
  <c r="P841" i="14"/>
  <c r="P838" i="14"/>
  <c r="P834" i="14"/>
  <c r="P832" i="14"/>
  <c r="P830" i="14"/>
  <c r="P820" i="14"/>
  <c r="Q820" i="14" s="1"/>
  <c r="P818" i="14"/>
  <c r="P816" i="14"/>
  <c r="P814" i="14"/>
  <c r="P812" i="14"/>
  <c r="P810" i="14"/>
  <c r="P808" i="14"/>
  <c r="P806" i="14"/>
  <c r="P804" i="14"/>
  <c r="P799" i="14"/>
  <c r="P795" i="14"/>
  <c r="P766" i="14"/>
  <c r="P764" i="14"/>
  <c r="P761" i="14"/>
  <c r="P759" i="14"/>
  <c r="P757" i="14"/>
  <c r="P753" i="14"/>
  <c r="P751" i="14"/>
  <c r="P748" i="14"/>
  <c r="P737" i="14"/>
  <c r="P733" i="14"/>
  <c r="P731" i="14"/>
  <c r="P729" i="14"/>
  <c r="P676" i="14"/>
  <c r="P674" i="14"/>
  <c r="P666" i="14"/>
  <c r="P664" i="14"/>
  <c r="P660" i="14"/>
  <c r="P658" i="14"/>
  <c r="P652" i="14"/>
  <c r="P650" i="14"/>
  <c r="P645" i="14"/>
  <c r="P628" i="14"/>
  <c r="P624" i="14"/>
  <c r="P622" i="14"/>
  <c r="P621" i="14" s="1"/>
  <c r="P618" i="14"/>
  <c r="P616" i="14"/>
  <c r="P610" i="14"/>
  <c r="P608" i="14"/>
  <c r="P601" i="14"/>
  <c r="P586" i="14"/>
  <c r="P571" i="14"/>
  <c r="P569" i="14"/>
  <c r="P567" i="14"/>
  <c r="P565" i="14"/>
  <c r="P563" i="14"/>
  <c r="P561" i="14"/>
  <c r="P559" i="14"/>
  <c r="P551" i="14"/>
  <c r="P540" i="14"/>
  <c r="P527" i="14"/>
  <c r="P517" i="14"/>
  <c r="P514" i="14"/>
  <c r="P510" i="14"/>
  <c r="P508" i="14"/>
  <c r="P506" i="14"/>
  <c r="P504" i="14"/>
  <c r="P503" i="14" s="1"/>
  <c r="P501" i="14"/>
  <c r="P499" i="14"/>
  <c r="P498" i="14" s="1"/>
  <c r="P496" i="14"/>
  <c r="P495" i="14" s="1"/>
  <c r="P489" i="14"/>
  <c r="P459" i="14"/>
  <c r="P434" i="14"/>
  <c r="P421" i="14"/>
  <c r="P418" i="14"/>
  <c r="P414" i="14"/>
  <c r="P405" i="14"/>
  <c r="P397" i="14"/>
  <c r="P395" i="14"/>
  <c r="P364" i="14"/>
  <c r="P133" i="14"/>
  <c r="P129" i="14"/>
  <c r="P127" i="14"/>
  <c r="P125" i="14"/>
  <c r="P123" i="14"/>
  <c r="P121" i="14"/>
  <c r="P119" i="14"/>
  <c r="P117" i="14"/>
  <c r="P110" i="14"/>
  <c r="P112" i="14"/>
  <c r="P873" i="14"/>
  <c r="P872" i="14"/>
  <c r="P869" i="14"/>
  <c r="P866" i="14"/>
  <c r="P897" i="14"/>
  <c r="P896" i="14" s="1"/>
  <c r="P891" i="14"/>
  <c r="P889" i="14"/>
  <c r="P888" i="14" s="1"/>
  <c r="P877" i="14"/>
  <c r="P876" i="14" s="1"/>
  <c r="P865" i="14"/>
  <c r="P864" i="14" s="1"/>
  <c r="P25" i="14"/>
  <c r="P24" i="14" s="1"/>
  <c r="P28" i="14"/>
  <c r="P27" i="14" s="1"/>
  <c r="P31" i="14"/>
  <c r="P30" i="14" s="1"/>
  <c r="P34" i="14"/>
  <c r="P33" i="14" s="1"/>
  <c r="P37" i="14"/>
  <c r="P36" i="14" s="1"/>
  <c r="P41" i="14"/>
  <c r="P49" i="14"/>
  <c r="P50" i="14"/>
  <c r="P53" i="14"/>
  <c r="P58" i="14"/>
  <c r="P57" i="14" s="1"/>
  <c r="P63" i="14"/>
  <c r="P67" i="14"/>
  <c r="P72" i="14"/>
  <c r="P71" i="14" s="1"/>
  <c r="P77" i="14"/>
  <c r="P81" i="14"/>
  <c r="P86" i="14"/>
  <c r="P85" i="14" s="1"/>
  <c r="P91" i="14"/>
  <c r="P90" i="14" s="1"/>
  <c r="P96" i="14"/>
  <c r="P95" i="14" s="1"/>
  <c r="P101" i="14"/>
  <c r="P132" i="14"/>
  <c r="P131" i="14" s="1"/>
  <c r="P107" i="14" s="1"/>
  <c r="P106" i="14" s="1"/>
  <c r="P140" i="14"/>
  <c r="P150" i="14"/>
  <c r="P158" i="14"/>
  <c r="P167" i="14"/>
  <c r="P176" i="14"/>
  <c r="P185" i="14"/>
  <c r="P193" i="14"/>
  <c r="P202" i="14"/>
  <c r="P212" i="14"/>
  <c r="P221" i="14"/>
  <c r="P229" i="14"/>
  <c r="P238" i="14"/>
  <c r="P247" i="14"/>
  <c r="P256" i="14"/>
  <c r="P265" i="14"/>
  <c r="P274" i="14"/>
  <c r="P282" i="14"/>
  <c r="P291" i="14"/>
  <c r="P300" i="14"/>
  <c r="P309" i="14"/>
  <c r="P318" i="14"/>
  <c r="P327" i="14"/>
  <c r="P335" i="14"/>
  <c r="P344" i="14"/>
  <c r="P355" i="14"/>
  <c r="P354" i="14" s="1"/>
  <c r="P367" i="14"/>
  <c r="P366" i="14" s="1"/>
  <c r="P373" i="14"/>
  <c r="P376" i="14"/>
  <c r="P383" i="14"/>
  <c r="P382" i="14" s="1"/>
  <c r="P381" i="14" s="1"/>
  <c r="P380" i="14" s="1"/>
  <c r="P386" i="14"/>
  <c r="P921" i="14"/>
  <c r="P919" i="14"/>
  <c r="P829" i="14"/>
  <c r="P526" i="14"/>
  <c r="P516" i="14"/>
  <c r="P488" i="14"/>
  <c r="P485" i="14"/>
  <c r="P423" i="14"/>
  <c r="P420" i="14"/>
  <c r="P417" i="14"/>
  <c r="P411" i="14"/>
  <c r="P410" i="14" s="1"/>
  <c r="P407" i="14"/>
  <c r="P402" i="14"/>
  <c r="P394" i="14"/>
  <c r="P20" i="14"/>
  <c r="P918" i="14"/>
  <c r="P917" i="14" s="1"/>
  <c r="P916" i="14" s="1"/>
  <c r="P915" i="14" s="1"/>
  <c r="P914" i="14" s="1"/>
  <c r="P837" i="14"/>
  <c r="P836" i="14" s="1"/>
  <c r="P803" i="14"/>
  <c r="P798" i="14"/>
  <c r="P797" i="14" s="1"/>
  <c r="P794" i="14"/>
  <c r="P793" i="14" s="1"/>
  <c r="P747" i="14"/>
  <c r="P728" i="14"/>
  <c r="P727" i="14" s="1"/>
  <c r="P668" i="14"/>
  <c r="P663" i="14"/>
  <c r="P657" i="14"/>
  <c r="P649" i="14"/>
  <c r="P627" i="14"/>
  <c r="P513" i="14"/>
  <c r="P494" i="14"/>
  <c r="P433" i="14"/>
  <c r="P432" i="14" s="1"/>
  <c r="P431" i="14" s="1"/>
  <c r="P19" i="14"/>
  <c r="P904" i="14"/>
  <c r="P903" i="14" s="1"/>
  <c r="P902" i="14" s="1"/>
  <c r="P901" i="14" s="1"/>
  <c r="P887" i="14"/>
  <c r="P881" i="14"/>
  <c r="P863" i="14"/>
  <c r="P900" i="14"/>
  <c r="P828" i="14"/>
  <c r="P827" i="14" s="1"/>
  <c r="P826" i="14" s="1"/>
  <c r="P825" i="14" s="1"/>
  <c r="P401" i="14"/>
  <c r="P400" i="14" s="1"/>
  <c r="P399" i="14" s="1"/>
  <c r="P447" i="14"/>
  <c r="P456" i="14"/>
  <c r="P455" i="14" s="1"/>
  <c r="P454" i="14" s="1"/>
  <c r="P693" i="14"/>
  <c r="P769" i="14"/>
  <c r="Q429" i="14"/>
  <c r="Q779" i="14"/>
  <c r="Q487" i="14"/>
  <c r="Q643" i="14"/>
  <c r="Q709" i="14"/>
  <c r="Q770" i="14"/>
  <c r="Q641" i="14"/>
  <c r="Q642" i="14"/>
  <c r="P639" i="14"/>
  <c r="P858" i="14"/>
  <c r="P843" i="14" s="1"/>
  <c r="P481" i="14"/>
  <c r="P469" i="14" s="1"/>
  <c r="P536" i="14"/>
  <c r="P531" i="14" s="1"/>
  <c r="P530" i="14" s="1"/>
  <c r="P778" i="14"/>
  <c r="P774" i="14" s="1"/>
  <c r="P773" i="14" s="1"/>
  <c r="P772" i="14" s="1"/>
  <c r="P771" i="14" s="1"/>
  <c r="P451" i="14"/>
  <c r="Q451" i="14" s="1"/>
  <c r="P705" i="14"/>
  <c r="Q705" i="14" s="1"/>
  <c r="Q802" i="14"/>
  <c r="Q790" i="14"/>
  <c r="Q791" i="14"/>
  <c r="Q373" i="14"/>
  <c r="Q376" i="14"/>
  <c r="P547" i="14"/>
  <c r="P632" i="14"/>
  <c r="P631" i="14" s="1"/>
  <c r="P656" i="14"/>
  <c r="P655" i="14" s="1"/>
  <c r="P654" i="14" s="1"/>
  <c r="P680" i="14"/>
  <c r="P679" i="14" s="1"/>
  <c r="P703" i="14"/>
  <c r="P704" i="14"/>
  <c r="P710" i="14"/>
  <c r="P741" i="14"/>
  <c r="P739" i="14" s="1"/>
  <c r="P736" i="14" s="1"/>
  <c r="P745" i="14"/>
  <c r="P743" i="14" s="1"/>
  <c r="P742" i="14" s="1"/>
  <c r="Q428" i="14"/>
  <c r="Q425" i="14"/>
  <c r="Q856" i="14"/>
  <c r="Q640" i="14"/>
  <c r="Q855" i="14"/>
  <c r="Q468" i="14"/>
  <c r="Q708" i="14"/>
  <c r="Q392" i="14"/>
  <c r="Q673" i="14"/>
  <c r="Q745" i="14"/>
  <c r="Q656" i="14"/>
  <c r="Q741" i="14"/>
  <c r="Q427" i="14"/>
  <c r="Q21" i="14"/>
  <c r="Q22" i="14"/>
  <c r="Q23" i="14"/>
  <c r="Q26" i="14"/>
  <c r="Q29" i="14"/>
  <c r="Q32" i="14"/>
  <c r="Q35" i="14"/>
  <c r="Q38" i="14"/>
  <c r="Q39" i="14"/>
  <c r="Q42" i="14"/>
  <c r="Q43" i="14"/>
  <c r="Q44" i="14"/>
  <c r="Q46" i="14"/>
  <c r="Q47" i="14"/>
  <c r="Q48" i="14"/>
  <c r="Q51" i="14"/>
  <c r="Q54" i="14"/>
  <c r="Q55" i="14"/>
  <c r="Q56" i="14"/>
  <c r="Q59" i="14"/>
  <c r="Q60" i="14"/>
  <c r="Q64" i="14"/>
  <c r="Q65" i="14"/>
  <c r="Q66" i="14"/>
  <c r="Q68" i="14"/>
  <c r="Q69" i="14"/>
  <c r="Q70" i="14"/>
  <c r="Q73" i="14"/>
  <c r="Q74" i="14"/>
  <c r="Q75" i="14"/>
  <c r="Q78" i="14"/>
  <c r="Q79" i="14"/>
  <c r="Q80" i="14"/>
  <c r="Q82" i="14"/>
  <c r="Q83" i="14"/>
  <c r="Q84" i="14"/>
  <c r="Q87" i="14"/>
  <c r="Q88" i="14"/>
  <c r="Q89" i="14"/>
  <c r="Q92" i="14"/>
  <c r="Q93" i="14"/>
  <c r="Q94" i="14"/>
  <c r="Q97" i="14"/>
  <c r="Q98" i="14"/>
  <c r="Q99" i="14"/>
  <c r="Q102" i="14"/>
  <c r="Q103" i="14"/>
  <c r="Q104" i="14"/>
  <c r="Q105" i="14"/>
  <c r="Q109" i="14"/>
  <c r="Q111" i="14"/>
  <c r="Q113" i="14"/>
  <c r="Q114" i="14"/>
  <c r="Q115" i="14"/>
  <c r="Q116" i="14"/>
  <c r="Q118" i="14"/>
  <c r="Q120" i="14"/>
  <c r="Q122" i="14"/>
  <c r="Q124" i="14"/>
  <c r="Q126" i="14"/>
  <c r="Q128" i="14"/>
  <c r="Q130" i="14"/>
  <c r="Q132" i="14"/>
  <c r="Q134" i="14"/>
  <c r="Q135" i="14"/>
  <c r="Q141" i="14"/>
  <c r="Q142" i="14"/>
  <c r="Q143" i="14"/>
  <c r="Q144" i="14"/>
  <c r="Q145" i="14"/>
  <c r="Q146" i="14"/>
  <c r="Q147" i="14"/>
  <c r="Q148" i="14"/>
  <c r="Q149" i="14"/>
  <c r="Q151" i="14"/>
  <c r="Q152" i="14"/>
  <c r="Q153" i="14"/>
  <c r="Q154" i="14"/>
  <c r="Q155" i="14"/>
  <c r="Q156" i="14"/>
  <c r="Q159" i="14"/>
  <c r="Q160" i="14"/>
  <c r="Q161" i="14"/>
  <c r="Q162" i="14"/>
  <c r="Q163" i="14"/>
  <c r="Q164" i="14"/>
  <c r="Q165" i="14"/>
  <c r="Q166" i="14"/>
  <c r="Q168" i="14"/>
  <c r="Q169" i="14"/>
  <c r="Q170" i="14"/>
  <c r="Q171" i="14"/>
  <c r="Q172" i="14"/>
  <c r="Q173" i="14"/>
  <c r="Q177" i="14"/>
  <c r="Q178" i="14"/>
  <c r="Q179" i="14"/>
  <c r="Q180" i="14"/>
  <c r="Q181" i="14"/>
  <c r="Q182" i="14"/>
  <c r="Q183" i="14"/>
  <c r="Q184" i="14"/>
  <c r="Q186" i="14"/>
  <c r="Q187" i="14"/>
  <c r="Q188" i="14"/>
  <c r="Q189" i="14"/>
  <c r="Q190" i="14"/>
  <c r="Q191" i="14"/>
  <c r="Q194" i="14"/>
  <c r="Q195" i="14"/>
  <c r="Q196" i="14"/>
  <c r="Q197" i="14"/>
  <c r="Q198" i="14"/>
  <c r="Q199" i="14"/>
  <c r="Q200" i="14"/>
  <c r="Q201" i="14"/>
  <c r="Q203" i="14"/>
  <c r="Q204" i="14"/>
  <c r="Q205" i="14"/>
  <c r="Q206" i="14"/>
  <c r="Q207" i="14"/>
  <c r="Q208" i="14"/>
  <c r="Q213" i="14"/>
  <c r="Q214" i="14"/>
  <c r="Q215" i="14"/>
  <c r="Q216" i="14"/>
  <c r="Q217" i="14"/>
  <c r="Q218" i="14"/>
  <c r="Q219" i="14"/>
  <c r="Q220" i="14"/>
  <c r="Q222" i="14"/>
  <c r="Q223" i="14"/>
  <c r="Q224" i="14"/>
  <c r="Q225" i="14"/>
  <c r="Q226" i="14"/>
  <c r="Q227" i="14"/>
  <c r="Q230" i="14"/>
  <c r="Q231" i="14"/>
  <c r="Q232" i="14"/>
  <c r="Q233" i="14"/>
  <c r="Q234" i="14"/>
  <c r="Q235" i="14"/>
  <c r="Q236" i="14"/>
  <c r="Q237" i="14"/>
  <c r="Q239" i="14"/>
  <c r="Q240" i="14"/>
  <c r="Q241" i="14"/>
  <c r="Q242" i="14"/>
  <c r="Q243" i="14"/>
  <c r="Q244" i="14"/>
  <c r="Q248" i="14"/>
  <c r="Q249" i="14"/>
  <c r="Q250" i="14"/>
  <c r="Q251" i="14"/>
  <c r="Q252" i="14"/>
  <c r="Q253" i="14"/>
  <c r="Q254" i="14"/>
  <c r="Q255" i="14"/>
  <c r="Q257" i="14"/>
  <c r="Q258" i="14"/>
  <c r="Q259" i="14"/>
  <c r="Q260" i="14"/>
  <c r="Q261" i="14"/>
  <c r="Q262" i="14"/>
  <c r="Q266" i="14"/>
  <c r="Q267" i="14"/>
  <c r="Q268" i="14"/>
  <c r="Q269" i="14"/>
  <c r="Q270" i="14"/>
  <c r="Q271" i="14"/>
  <c r="Q272" i="14"/>
  <c r="Q273" i="14"/>
  <c r="Q275" i="14"/>
  <c r="Q276" i="14"/>
  <c r="Q277" i="14"/>
  <c r="Q278" i="14"/>
  <c r="Q279" i="14"/>
  <c r="Q280" i="14"/>
  <c r="Q283" i="14"/>
  <c r="Q284" i="14"/>
  <c r="Q285" i="14"/>
  <c r="Q286" i="14"/>
  <c r="Q287" i="14"/>
  <c r="Q288" i="14"/>
  <c r="Q289" i="14"/>
  <c r="Q290" i="14"/>
  <c r="Q292" i="14"/>
  <c r="Q293" i="14"/>
  <c r="Q294" i="14"/>
  <c r="Q295" i="14"/>
  <c r="Q296" i="14"/>
  <c r="Q297" i="14"/>
  <c r="Q301" i="14"/>
  <c r="Q302" i="14"/>
  <c r="Q303" i="14"/>
  <c r="Q304" i="14"/>
  <c r="Q305" i="14"/>
  <c r="Q306" i="14"/>
  <c r="Q307" i="14"/>
  <c r="Q308" i="14"/>
  <c r="Q310" i="14"/>
  <c r="Q311" i="14"/>
  <c r="Q312" i="14"/>
  <c r="Q313" i="14"/>
  <c r="Q314" i="14"/>
  <c r="Q315" i="14"/>
  <c r="Q319" i="14"/>
  <c r="Q320" i="14"/>
  <c r="Q321" i="14"/>
  <c r="Q322" i="14"/>
  <c r="Q323" i="14"/>
  <c r="Q324" i="14"/>
  <c r="Q325" i="14"/>
  <c r="Q326" i="14"/>
  <c r="Q328" i="14"/>
  <c r="Q329" i="14"/>
  <c r="Q330" i="14"/>
  <c r="Q331" i="14"/>
  <c r="Q332" i="14"/>
  <c r="Q333" i="14"/>
  <c r="Q336" i="14"/>
  <c r="Q337" i="14"/>
  <c r="Q338" i="14"/>
  <c r="Q339" i="14"/>
  <c r="Q340" i="14"/>
  <c r="Q341" i="14"/>
  <c r="Q342" i="14"/>
  <c r="Q343" i="14"/>
  <c r="Q345" i="14"/>
  <c r="Q346" i="14"/>
  <c r="Q347" i="14"/>
  <c r="Q348" i="14"/>
  <c r="Q349" i="14"/>
  <c r="Q350" i="14"/>
  <c r="Q357" i="14"/>
  <c r="Q358" i="14"/>
  <c r="Q365" i="14"/>
  <c r="Q367" i="14"/>
  <c r="Q374" i="14"/>
  <c r="Q375" i="14"/>
  <c r="Q377" i="14"/>
  <c r="Q383" i="14"/>
  <c r="Q384" i="14"/>
  <c r="Q388" i="14"/>
  <c r="Q389" i="14"/>
  <c r="Q390" i="14"/>
  <c r="Q391" i="14"/>
  <c r="Q393" i="14"/>
  <c r="Q396" i="14"/>
  <c r="Q398" i="14"/>
  <c r="Q401" i="14"/>
  <c r="Q403" i="14"/>
  <c r="Q404" i="14"/>
  <c r="Q406" i="14"/>
  <c r="Q408" i="14"/>
  <c r="Q412" i="14"/>
  <c r="Q413" i="14"/>
  <c r="Q415" i="14"/>
  <c r="Q416" i="14"/>
  <c r="Q419" i="14"/>
  <c r="Q422" i="14"/>
  <c r="Q424" i="14"/>
  <c r="Q426" i="14"/>
  <c r="Q435" i="14"/>
  <c r="Q440" i="14"/>
  <c r="Q441" i="14"/>
  <c r="Q442" i="14"/>
  <c r="Q443" i="14"/>
  <c r="Q444" i="14"/>
  <c r="Q445" i="14"/>
  <c r="Q446" i="14"/>
  <c r="Q447" i="14"/>
  <c r="Q448" i="14"/>
  <c r="Q449" i="14"/>
  <c r="Q450" i="14"/>
  <c r="Q452" i="14"/>
  <c r="Q456" i="14"/>
  <c r="Q458" i="14"/>
  <c r="Q460" i="14"/>
  <c r="Q461" i="14"/>
  <c r="Q462" i="14"/>
  <c r="Q463" i="14"/>
  <c r="Q464" i="14"/>
  <c r="Q465" i="14"/>
  <c r="Q466" i="14"/>
  <c r="Q467" i="14"/>
  <c r="Q470" i="14"/>
  <c r="Q471" i="14"/>
  <c r="Q472" i="14"/>
  <c r="Q473" i="14"/>
  <c r="Q474" i="14"/>
  <c r="Q475" i="14"/>
  <c r="Q476" i="14"/>
  <c r="Q477" i="14"/>
  <c r="Q478" i="14"/>
  <c r="Q479" i="14"/>
  <c r="Q480" i="14"/>
  <c r="Q482" i="14"/>
  <c r="Q483" i="14"/>
  <c r="Q486" i="14"/>
  <c r="Q490" i="14"/>
  <c r="Q491" i="14"/>
  <c r="Q497" i="14"/>
  <c r="Q500" i="14"/>
  <c r="Q502" i="14"/>
  <c r="Q505" i="14"/>
  <c r="Q507" i="14"/>
  <c r="Q509" i="14"/>
  <c r="Q511" i="14"/>
  <c r="Q512" i="14"/>
  <c r="Q515" i="14"/>
  <c r="Q518" i="14"/>
  <c r="Q519" i="14"/>
  <c r="Q520" i="14"/>
  <c r="Q521" i="14"/>
  <c r="Q522" i="14"/>
  <c r="Q523" i="14"/>
  <c r="Q524" i="14"/>
  <c r="Q525" i="14"/>
  <c r="Q528" i="14"/>
  <c r="Q532" i="14"/>
  <c r="Q533" i="14"/>
  <c r="Q534" i="14"/>
  <c r="Q535" i="14"/>
  <c r="Q536" i="14"/>
  <c r="Q537" i="14"/>
  <c r="Q539" i="14"/>
  <c r="Q541" i="14"/>
  <c r="Q542" i="14"/>
  <c r="Q543" i="14"/>
  <c r="Q544" i="14"/>
  <c r="Q546" i="14"/>
  <c r="Q552" i="14"/>
  <c r="Q553" i="14"/>
  <c r="Q554" i="14"/>
  <c r="Q555" i="14"/>
  <c r="Q556" i="14"/>
  <c r="Q557" i="14"/>
  <c r="Q558" i="14"/>
  <c r="Q560" i="14"/>
  <c r="Q562" i="14"/>
  <c r="Q564" i="14"/>
  <c r="Q566" i="14"/>
  <c r="Q568" i="14"/>
  <c r="Q570" i="14"/>
  <c r="Q572" i="14"/>
  <c r="Q573" i="14"/>
  <c r="Q574" i="14"/>
  <c r="Q575" i="14"/>
  <c r="Q576" i="14"/>
  <c r="Q577" i="14"/>
  <c r="Q578" i="14"/>
  <c r="Q579" i="14"/>
  <c r="Q580" i="14"/>
  <c r="Q581" i="14"/>
  <c r="Q582" i="14"/>
  <c r="Q583" i="14"/>
  <c r="Q584" i="14"/>
  <c r="Q585" i="14"/>
  <c r="Q587" i="14"/>
  <c r="Q588" i="14"/>
  <c r="Q589" i="14"/>
  <c r="Q590" i="14"/>
  <c r="Q591" i="14"/>
  <c r="Q592" i="14"/>
  <c r="Q593" i="14"/>
  <c r="Q594" i="14"/>
  <c r="Q595" i="14"/>
  <c r="Q596" i="14"/>
  <c r="Q597" i="14"/>
  <c r="Q598" i="14"/>
  <c r="Q599" i="14"/>
  <c r="Q600" i="14"/>
  <c r="Q602" i="14"/>
  <c r="Q603" i="14"/>
  <c r="Q605" i="14"/>
  <c r="Q606" i="14"/>
  <c r="Q607" i="14"/>
  <c r="Q609" i="14"/>
  <c r="Q611" i="14"/>
  <c r="Q612" i="14"/>
  <c r="Q613" i="14"/>
  <c r="Q614" i="14"/>
  <c r="Q615" i="14"/>
  <c r="Q617" i="14"/>
  <c r="Q619" i="14"/>
  <c r="Q620" i="14"/>
  <c r="Q623" i="14"/>
  <c r="Q625" i="14"/>
  <c r="Q626" i="14"/>
  <c r="Q629" i="14"/>
  <c r="Q632" i="14"/>
  <c r="Q633" i="14"/>
  <c r="Q634" i="14"/>
  <c r="Q635" i="14"/>
  <c r="Q636" i="14"/>
  <c r="Q637" i="14"/>
  <c r="Q638" i="14"/>
  <c r="Q639" i="14"/>
  <c r="Q646" i="14"/>
  <c r="Q647" i="14"/>
  <c r="Q651" i="14"/>
  <c r="Q653" i="14"/>
  <c r="Q659" i="14"/>
  <c r="Q661" i="14"/>
  <c r="Q665" i="14"/>
  <c r="Q667" i="14"/>
  <c r="Q670" i="14"/>
  <c r="Q671" i="14"/>
  <c r="Q672" i="14"/>
  <c r="Q675" i="14"/>
  <c r="Q677" i="14"/>
  <c r="Q681" i="14"/>
  <c r="Q682" i="14"/>
  <c r="Q683" i="14"/>
  <c r="Q684" i="14"/>
  <c r="Q685" i="14"/>
  <c r="Q686" i="14"/>
  <c r="Q687" i="14"/>
  <c r="Q692" i="14"/>
  <c r="Q693" i="14"/>
  <c r="Q694" i="14"/>
  <c r="Q695" i="14"/>
  <c r="Q696" i="14"/>
  <c r="Q697" i="14"/>
  <c r="Q698" i="14"/>
  <c r="Q699" i="14"/>
  <c r="Q700" i="14"/>
  <c r="Q701" i="14"/>
  <c r="Q702" i="14"/>
  <c r="Q703" i="14"/>
  <c r="Q704" i="14"/>
  <c r="Q706" i="14"/>
  <c r="Q707" i="14"/>
  <c r="Q711" i="14"/>
  <c r="Q712" i="14"/>
  <c r="Q713" i="14"/>
  <c r="Q714" i="14"/>
  <c r="Q715" i="14"/>
  <c r="Q716" i="14"/>
  <c r="Q717" i="14"/>
  <c r="Q718" i="14"/>
  <c r="Q719" i="14"/>
  <c r="Q720" i="14"/>
  <c r="Q721" i="14"/>
  <c r="Q722" i="14"/>
  <c r="Q726" i="14"/>
  <c r="Q730" i="14"/>
  <c r="Q732" i="14"/>
  <c r="Q734" i="14"/>
  <c r="Q738" i="14"/>
  <c r="Q740" i="14"/>
  <c r="Q744" i="14"/>
  <c r="Q746" i="14"/>
  <c r="Q749" i="14"/>
  <c r="Q752" i="14"/>
  <c r="Q754" i="14"/>
  <c r="Q755" i="14"/>
  <c r="Q756" i="14"/>
  <c r="Q758" i="14"/>
  <c r="Q760" i="14"/>
  <c r="Q762" i="14"/>
  <c r="Q763" i="14"/>
  <c r="Q765" i="14"/>
  <c r="Q767" i="14"/>
  <c r="Q769" i="14"/>
  <c r="Q775" i="14"/>
  <c r="Q776" i="14"/>
  <c r="Q777" i="14"/>
  <c r="Q778" i="14"/>
  <c r="Q782" i="14"/>
  <c r="Q783" i="14"/>
  <c r="Q784" i="14"/>
  <c r="Q785" i="14"/>
  <c r="Q786" i="14"/>
  <c r="Q787" i="14"/>
  <c r="Q788" i="14"/>
  <c r="Q789" i="14"/>
  <c r="Q796" i="14"/>
  <c r="Q800" i="14"/>
  <c r="Q801" i="14"/>
  <c r="Q805" i="14"/>
  <c r="Q807" i="14"/>
  <c r="Q809" i="14"/>
  <c r="Q811" i="14"/>
  <c r="Q813" i="14"/>
  <c r="Q815" i="14"/>
  <c r="Q817" i="14"/>
  <c r="Q819" i="14"/>
  <c r="Q824" i="14"/>
  <c r="Q828" i="14"/>
  <c r="Q831" i="14"/>
  <c r="Q833" i="14"/>
  <c r="Q835" i="14"/>
  <c r="Q839" i="14"/>
  <c r="Q842" i="14"/>
  <c r="Q844" i="14"/>
  <c r="Q845" i="14"/>
  <c r="Q846" i="14"/>
  <c r="Q847" i="14"/>
  <c r="Q848" i="14"/>
  <c r="Q849" i="14"/>
  <c r="Q850" i="14"/>
  <c r="Q851" i="14"/>
  <c r="Q852" i="14"/>
  <c r="Q853" i="14"/>
  <c r="Q854" i="14"/>
  <c r="Q860" i="14"/>
  <c r="Q861" i="14"/>
  <c r="Q862" i="14"/>
  <c r="Q868" i="14"/>
  <c r="Q871" i="14"/>
  <c r="Q875" i="14"/>
  <c r="Q879" i="14"/>
  <c r="Q880" i="14"/>
  <c r="Q884" i="14"/>
  <c r="Q886" i="14"/>
  <c r="Q890" i="14"/>
  <c r="Q893" i="14"/>
  <c r="Q895" i="14"/>
  <c r="Q898" i="14"/>
  <c r="Q899" i="14"/>
  <c r="Q905" i="14"/>
  <c r="Q906" i="14"/>
  <c r="Q907" i="14"/>
  <c r="Q908" i="14"/>
  <c r="Q909" i="14"/>
  <c r="Q910" i="14"/>
  <c r="Q911" i="14"/>
  <c r="Q912" i="14"/>
  <c r="Q913" i="14"/>
  <c r="Q920" i="14"/>
  <c r="Q922" i="14"/>
  <c r="R76" i="14" l="1"/>
  <c r="R62" i="14"/>
  <c r="R61" i="14" s="1"/>
  <c r="R52" i="14"/>
  <c r="R40" i="14"/>
  <c r="R18" i="14"/>
  <c r="R17" i="14" s="1"/>
  <c r="R16" i="14" s="1"/>
  <c r="R918" i="14"/>
  <c r="R917" i="14" s="1"/>
  <c r="R916" i="14" s="1"/>
  <c r="R915" i="14" s="1"/>
  <c r="R914" i="14" s="1"/>
  <c r="R891" i="14"/>
  <c r="R888" i="14"/>
  <c r="R887" i="14" s="1"/>
  <c r="R882" i="14"/>
  <c r="R881" i="14" s="1"/>
  <c r="R865" i="14"/>
  <c r="R864" i="14" s="1"/>
  <c r="R863" i="14" s="1"/>
  <c r="R840" i="14"/>
  <c r="R829" i="14"/>
  <c r="R803" i="14"/>
  <c r="R798" i="14"/>
  <c r="R797" i="14" s="1"/>
  <c r="R792" i="14"/>
  <c r="R773" i="14"/>
  <c r="R772" i="14" s="1"/>
  <c r="R771" i="14" s="1"/>
  <c r="R750" i="14"/>
  <c r="R736" i="14"/>
  <c r="R735" i="14" s="1"/>
  <c r="R728" i="14"/>
  <c r="R727" i="14" s="1"/>
  <c r="R691" i="14"/>
  <c r="R690" i="14" s="1"/>
  <c r="R689" i="14" s="1"/>
  <c r="R678" i="14"/>
  <c r="R668" i="14"/>
  <c r="R662" i="14"/>
  <c r="R657" i="14"/>
  <c r="R649" i="14"/>
  <c r="R648" i="14" s="1"/>
  <c r="R631" i="14"/>
  <c r="R630" i="14" s="1"/>
  <c r="R621" i="14"/>
  <c r="R610" i="14"/>
  <c r="R550" i="14"/>
  <c r="R549" i="14" s="1"/>
  <c r="R548" i="14" s="1"/>
  <c r="R538" i="14"/>
  <c r="R529" i="14"/>
  <c r="R503" i="14"/>
  <c r="R498" i="14"/>
  <c r="R494" i="14"/>
  <c r="R493" i="14" s="1"/>
  <c r="R492" i="14" s="1"/>
  <c r="R457" i="14"/>
  <c r="R439" i="14"/>
  <c r="R438" i="14" s="1"/>
  <c r="R437" i="14" s="1"/>
  <c r="R436" i="14" s="1"/>
  <c r="R430" i="14"/>
  <c r="R423" i="14"/>
  <c r="R410" i="14"/>
  <c r="R394" i="14"/>
  <c r="R385" i="14"/>
  <c r="R379" i="14"/>
  <c r="R378" i="14" s="1"/>
  <c r="R372" i="14"/>
  <c r="R371" i="14" s="1"/>
  <c r="R370" i="14" s="1"/>
  <c r="R369" i="14" s="1"/>
  <c r="R368" i="14" s="1"/>
  <c r="R363" i="14"/>
  <c r="R362" i="14" s="1"/>
  <c r="R361" i="14" s="1"/>
  <c r="R360" i="14" s="1"/>
  <c r="R353" i="14"/>
  <c r="R352" i="14" s="1"/>
  <c r="R351" i="14" s="1"/>
  <c r="R334" i="14"/>
  <c r="R317" i="14"/>
  <c r="R316" i="14" s="1"/>
  <c r="R299" i="14"/>
  <c r="R298" i="14" s="1"/>
  <c r="R281" i="14"/>
  <c r="R264" i="14"/>
  <c r="R263" i="14" s="1"/>
  <c r="R246" i="14"/>
  <c r="R245" i="14" s="1"/>
  <c r="R228" i="14"/>
  <c r="R211" i="14"/>
  <c r="R210" i="14" s="1"/>
  <c r="R209" i="14" s="1"/>
  <c r="R192" i="14"/>
  <c r="R174" i="14" s="1"/>
  <c r="R138" i="14" s="1"/>
  <c r="R137" i="14" s="1"/>
  <c r="R136" i="14" s="1"/>
  <c r="P792" i="14"/>
  <c r="P385" i="14"/>
  <c r="P379" i="14"/>
  <c r="P363" i="14"/>
  <c r="P362" i="14" s="1"/>
  <c r="P361" i="14" s="1"/>
  <c r="P360" i="14" s="1"/>
  <c r="P550" i="14"/>
  <c r="P549" i="14" s="1"/>
  <c r="P840" i="14"/>
  <c r="P630" i="14"/>
  <c r="P768" i="14"/>
  <c r="P750" i="14" s="1"/>
  <c r="P691" i="14"/>
  <c r="P690" i="14" s="1"/>
  <c r="P689" i="14" s="1"/>
  <c r="P678" i="14" s="1"/>
  <c r="P662" i="14" s="1"/>
  <c r="P439" i="14"/>
  <c r="P735" i="14"/>
  <c r="Q547" i="14"/>
  <c r="P545" i="14"/>
  <c r="P538" i="14" s="1"/>
  <c r="Q481" i="14"/>
  <c r="P457" i="14"/>
  <c r="P438" i="14"/>
  <c r="P437" i="14" s="1"/>
  <c r="P436" i="14" s="1"/>
  <c r="P493" i="14"/>
  <c r="P492" i="14" s="1"/>
  <c r="P548" i="14"/>
  <c r="P648" i="14"/>
  <c r="P372" i="14"/>
  <c r="P371" i="14" s="1"/>
  <c r="P370" i="14" s="1"/>
  <c r="P369" i="14" s="1"/>
  <c r="P368" i="14" s="1"/>
  <c r="P353" i="14" s="1"/>
  <c r="P352" i="14" s="1"/>
  <c r="P192" i="14"/>
  <c r="P175" i="14"/>
  <c r="P174" i="14" s="1"/>
  <c r="P334" i="14"/>
  <c r="P317" i="14"/>
  <c r="P316" i="14" s="1"/>
  <c r="P299" i="14"/>
  <c r="P298" i="14" s="1"/>
  <c r="P281" i="14"/>
  <c r="P264" i="14"/>
  <c r="P263" i="14" s="1"/>
  <c r="P246" i="14"/>
  <c r="P245" i="14" s="1"/>
  <c r="P228" i="14"/>
  <c r="P211" i="14"/>
  <c r="P210" i="14" s="1"/>
  <c r="P209" i="14" s="1"/>
  <c r="P157" i="14"/>
  <c r="P139" i="14"/>
  <c r="P138" i="14" s="1"/>
  <c r="P137" i="14" s="1"/>
  <c r="P136" i="14" s="1"/>
  <c r="P100" i="14"/>
  <c r="P76" i="14"/>
  <c r="P62" i="14"/>
  <c r="P61" i="14" s="1"/>
  <c r="P52" i="14"/>
  <c r="P40" i="14"/>
  <c r="P18" i="14" s="1"/>
  <c r="P17" i="14" s="1"/>
  <c r="P16" i="14" s="1"/>
  <c r="P15" i="14" s="1"/>
  <c r="R15" i="14" l="1"/>
  <c r="R14" i="14" s="1"/>
  <c r="R13" i="14" s="1"/>
  <c r="P529" i="14"/>
  <c r="P430" i="14"/>
  <c r="P378" i="14" s="1"/>
  <c r="P351" i="14"/>
  <c r="Q356" i="14"/>
  <c r="P14" i="14" l="1"/>
  <c r="P13" i="14" s="1"/>
  <c r="Q508" i="14" l="1"/>
  <c r="Q510" i="14"/>
  <c r="O486" i="14" l="1"/>
  <c r="O426" i="14"/>
  <c r="Q834" i="14" l="1"/>
  <c r="Q832" i="14"/>
  <c r="Q894" i="14" l="1"/>
  <c r="Q892" i="14"/>
  <c r="Q891" i="14" l="1"/>
  <c r="Q691" i="14" l="1"/>
  <c r="Q733" i="14" l="1"/>
  <c r="Q731" i="14"/>
  <c r="Q729" i="14"/>
  <c r="Q830" i="14"/>
  <c r="Q652" i="14"/>
  <c r="Q650" i="14"/>
  <c r="Q660" i="14"/>
  <c r="Q658" i="14"/>
  <c r="Q757" i="14" l="1"/>
  <c r="Q768" i="14"/>
  <c r="Q766" i="14"/>
  <c r="Q459" i="14" l="1"/>
  <c r="Q666" i="14" l="1"/>
  <c r="Q664" i="14"/>
  <c r="Q676" i="14"/>
  <c r="Q674" i="14"/>
  <c r="Q366" i="14" l="1"/>
  <c r="Q364" i="14"/>
  <c r="Q804" i="14"/>
  <c r="Q806" i="14"/>
  <c r="Q808" i="14"/>
  <c r="Q810" i="14"/>
  <c r="Q812" i="14"/>
  <c r="Q814" i="14"/>
  <c r="Q816" i="14"/>
  <c r="Q818" i="14"/>
  <c r="Q803" i="14" l="1"/>
  <c r="Q133" i="14" l="1"/>
  <c r="Q140" i="14"/>
  <c r="Q150" i="14"/>
  <c r="Q158" i="14"/>
  <c r="Q167" i="14"/>
  <c r="Q176" i="14"/>
  <c r="Q185" i="14"/>
  <c r="Q193" i="14"/>
  <c r="Q202" i="14"/>
  <c r="Q212" i="14"/>
  <c r="Q221" i="14"/>
  <c r="Q229" i="14"/>
  <c r="Q238" i="14"/>
  <c r="Q247" i="14"/>
  <c r="Q256" i="14"/>
  <c r="Q265" i="14"/>
  <c r="Q274" i="14"/>
  <c r="Q282" i="14"/>
  <c r="Q291" i="14"/>
  <c r="Q300" i="14"/>
  <c r="Q309" i="14"/>
  <c r="Q318" i="14"/>
  <c r="Q327" i="14"/>
  <c r="Q335" i="14"/>
  <c r="Q344" i="14"/>
  <c r="Q355" i="14"/>
  <c r="Q372" i="14"/>
  <c r="Q382" i="14"/>
  <c r="Q387" i="14"/>
  <c r="Q395" i="14"/>
  <c r="Q397" i="14"/>
  <c r="Q400" i="14"/>
  <c r="Q405" i="14"/>
  <c r="Q407" i="14"/>
  <c r="Q414" i="14"/>
  <c r="Q418" i="14"/>
  <c r="Q421" i="14"/>
  <c r="Q423" i="14"/>
  <c r="Q434" i="14"/>
  <c r="Q439" i="14"/>
  <c r="Q455" i="14"/>
  <c r="Q469" i="14"/>
  <c r="G485" i="14"/>
  <c r="H485" i="14"/>
  <c r="I485" i="14"/>
  <c r="Q485" i="14" s="1"/>
  <c r="J485" i="14"/>
  <c r="K485" i="14"/>
  <c r="L485" i="14"/>
  <c r="M485" i="14"/>
  <c r="N485" i="14"/>
  <c r="Q489" i="14"/>
  <c r="Q496" i="14"/>
  <c r="Q499" i="14"/>
  <c r="Q501" i="14"/>
  <c r="Q504" i="14"/>
  <c r="Q506" i="14"/>
  <c r="Q514" i="14"/>
  <c r="Q517" i="14"/>
  <c r="Q527" i="14"/>
  <c r="Q531" i="14"/>
  <c r="Q540" i="14"/>
  <c r="Q545" i="14"/>
  <c r="Q551" i="14"/>
  <c r="Q559" i="14"/>
  <c r="Q561" i="14"/>
  <c r="Q563" i="14"/>
  <c r="Q565" i="14"/>
  <c r="Q567" i="14"/>
  <c r="Q569" i="14"/>
  <c r="Q571" i="14"/>
  <c r="Q586" i="14"/>
  <c r="Q601" i="14"/>
  <c r="Q604" i="14"/>
  <c r="Q608" i="14"/>
  <c r="Q610" i="14"/>
  <c r="Q616" i="14"/>
  <c r="Q618" i="14"/>
  <c r="Q622" i="14"/>
  <c r="Q624" i="14"/>
  <c r="Q628" i="14"/>
  <c r="Q631" i="14"/>
  <c r="Q645" i="14"/>
  <c r="Q655" i="14"/>
  <c r="Q663" i="14"/>
  <c r="Q669" i="14"/>
  <c r="Q680" i="14"/>
  <c r="Q710" i="14"/>
  <c r="Q725" i="14"/>
  <c r="Q737" i="14"/>
  <c r="Q739" i="14"/>
  <c r="Q743" i="14"/>
  <c r="Q748" i="14"/>
  <c r="Q751" i="14"/>
  <c r="Q753" i="14"/>
  <c r="Q759" i="14"/>
  <c r="Q761" i="14"/>
  <c r="Q764" i="14"/>
  <c r="Q774" i="14"/>
  <c r="Q781" i="14"/>
  <c r="Q795" i="14"/>
  <c r="Q799" i="14"/>
  <c r="Q827" i="14"/>
  <c r="Q838" i="14"/>
  <c r="Q841" i="14"/>
  <c r="Q843" i="14"/>
  <c r="Q867" i="14"/>
  <c r="Q870" i="14"/>
  <c r="Q874" i="14"/>
  <c r="Q878" i="14"/>
  <c r="Q883" i="14"/>
  <c r="Q885" i="14"/>
  <c r="Q889" i="14"/>
  <c r="Q897" i="14"/>
  <c r="Q904" i="14"/>
  <c r="Q919" i="14"/>
  <c r="Q921" i="14"/>
  <c r="Q859" i="14" l="1"/>
  <c r="Q503" i="14"/>
  <c r="Q131" i="14"/>
  <c r="Q127" i="14"/>
  <c r="Q123" i="14"/>
  <c r="Q125" i="14"/>
  <c r="Q121" i="14"/>
  <c r="Q119" i="14"/>
  <c r="Q117" i="14"/>
  <c r="Q110" i="14"/>
  <c r="O485" i="14"/>
  <c r="Q34" i="14"/>
  <c r="Q31" i="14"/>
  <c r="Q28" i="14"/>
  <c r="Q25" i="14"/>
  <c r="Q129" i="14"/>
  <c r="Q108" i="14"/>
  <c r="Q903" i="14"/>
  <c r="Q896" i="14"/>
  <c r="Q877" i="14"/>
  <c r="Q873" i="14"/>
  <c r="Q869" i="14"/>
  <c r="Q866" i="14"/>
  <c r="Q837" i="14"/>
  <c r="Q826" i="14"/>
  <c r="Q798" i="14"/>
  <c r="Q794" i="14"/>
  <c r="Q747" i="14"/>
  <c r="Q742" i="14"/>
  <c r="Q679" i="14"/>
  <c r="Q654" i="14"/>
  <c r="Q627" i="14"/>
  <c r="Q530" i="14"/>
  <c r="Q526" i="14"/>
  <c r="Q516" i="14"/>
  <c r="Q513" i="14"/>
  <c r="Q495" i="14"/>
  <c r="Q488" i="14"/>
  <c r="Q454" i="14"/>
  <c r="Q438" i="14"/>
  <c r="Q433" i="14"/>
  <c r="Q420" i="14"/>
  <c r="Q417" i="14"/>
  <c r="Q411" i="14"/>
  <c r="Q402" i="14"/>
  <c r="Q399" i="14"/>
  <c r="Q386" i="14"/>
  <c r="Q381" i="14"/>
  <c r="Q371" i="14"/>
  <c r="Q354" i="14"/>
  <c r="Q299" i="14"/>
  <c r="Q394" i="14"/>
  <c r="Q363" i="14"/>
  <c r="Q334" i="14"/>
  <c r="Q281" i="14"/>
  <c r="Q246" i="14"/>
  <c r="Q211" i="14"/>
  <c r="Q175" i="14"/>
  <c r="Q139" i="14"/>
  <c r="Q317" i="14"/>
  <c r="Q228" i="14"/>
  <c r="Q192" i="14"/>
  <c r="Q157" i="14"/>
  <c r="Q918" i="14"/>
  <c r="Q882" i="14"/>
  <c r="Q840" i="14"/>
  <c r="Q829" i="14"/>
  <c r="Q773" i="14"/>
  <c r="Q750" i="14"/>
  <c r="Q736" i="14"/>
  <c r="Q728" i="14"/>
  <c r="Q690" i="14"/>
  <c r="Q668" i="14"/>
  <c r="Q657" i="14"/>
  <c r="Q649" i="14"/>
  <c r="Q630" i="14"/>
  <c r="Q621" i="14"/>
  <c r="Q550" i="14"/>
  <c r="Q538" i="14"/>
  <c r="Q498" i="14"/>
  <c r="Q457" i="14"/>
  <c r="Q264" i="14"/>
  <c r="Q45" i="14"/>
  <c r="Q41" i="14"/>
  <c r="Q37" i="14"/>
  <c r="Q20" i="14"/>
  <c r="Q888" i="14"/>
  <c r="Q112" i="14"/>
  <c r="Q101" i="14"/>
  <c r="Q96" i="14"/>
  <c r="Q91" i="14"/>
  <c r="Q86" i="14"/>
  <c r="Q81" i="14"/>
  <c r="Q77" i="14"/>
  <c r="Q72" i="14"/>
  <c r="Q67" i="14"/>
  <c r="Q63" i="14"/>
  <c r="Q58" i="14"/>
  <c r="Q53" i="14"/>
  <c r="Q49" i="14"/>
  <c r="Q50" i="14"/>
  <c r="Q27" i="14" l="1"/>
  <c r="Q33" i="14"/>
  <c r="Q24" i="14"/>
  <c r="Q30" i="14"/>
  <c r="Q437" i="14"/>
  <c r="Q410" i="14"/>
  <c r="Q210" i="14"/>
  <c r="Q648" i="14"/>
  <c r="Q174" i="14"/>
  <c r="Q385" i="14"/>
  <c r="Q19" i="14"/>
  <c r="Q36" i="14"/>
  <c r="Q40" i="14"/>
  <c r="Q57" i="14"/>
  <c r="Q62" i="14"/>
  <c r="Q71" i="14"/>
  <c r="Q76" i="14"/>
  <c r="Q85" i="14"/>
  <c r="Q90" i="14"/>
  <c r="Q95" i="14"/>
  <c r="Q107" i="14"/>
  <c r="Q887" i="14"/>
  <c r="Q549" i="14"/>
  <c r="Q689" i="14"/>
  <c r="Q727" i="14"/>
  <c r="Q772" i="14"/>
  <c r="Q797" i="14"/>
  <c r="Q881" i="14"/>
  <c r="Q917" i="14"/>
  <c r="Q316" i="14"/>
  <c r="Q245" i="14"/>
  <c r="Q362" i="14"/>
  <c r="Q298" i="14"/>
  <c r="Q370" i="14"/>
  <c r="Q380" i="14"/>
  <c r="Q432" i="14"/>
  <c r="Q793" i="14"/>
  <c r="Q825" i="14"/>
  <c r="Q836" i="14"/>
  <c r="Q872" i="14"/>
  <c r="Q876" i="14"/>
  <c r="Q902" i="14"/>
  <c r="Q494" i="14"/>
  <c r="Q735" i="14"/>
  <c r="Q263" i="14"/>
  <c r="Q18" i="14" l="1"/>
  <c r="Q436" i="14"/>
  <c r="Q138" i="14"/>
  <c r="Q379" i="14"/>
  <c r="Q209" i="14"/>
  <c r="Q493" i="14"/>
  <c r="Q901" i="14"/>
  <c r="Q865" i="14"/>
  <c r="Q431" i="14"/>
  <c r="Q369" i="14"/>
  <c r="Q361" i="14"/>
  <c r="Q916" i="14"/>
  <c r="Q792" i="14"/>
  <c r="Q771" i="14"/>
  <c r="Q678" i="14"/>
  <c r="Q548" i="14"/>
  <c r="Q106" i="14"/>
  <c r="Q61" i="14"/>
  <c r="Q52" i="14"/>
  <c r="Q137" i="14" l="1"/>
  <c r="Q100" i="14"/>
  <c r="Q915" i="14"/>
  <c r="Q360" i="14"/>
  <c r="Q368" i="14"/>
  <c r="Q492" i="14"/>
  <c r="Q17" i="14"/>
  <c r="Q662" i="14"/>
  <c r="Q864" i="14"/>
  <c r="Q136" i="14" l="1"/>
  <c r="Q863" i="14"/>
  <c r="Q529" i="14"/>
  <c r="Q16" i="14"/>
  <c r="Q353" i="14"/>
  <c r="Q914" i="14"/>
  <c r="G8" i="14" l="1"/>
  <c r="Q352" i="14"/>
  <c r="Q15" i="14"/>
  <c r="Q900" i="14"/>
  <c r="Q430" i="14"/>
  <c r="F485" i="14"/>
  <c r="Q378" i="14" l="1"/>
  <c r="Q351" i="14" l="1"/>
  <c r="Q14" i="14" l="1"/>
  <c r="Q13" i="14" l="1"/>
  <c r="K8" i="14" l="1"/>
  <c r="L6" i="14"/>
  <c r="H8" i="14"/>
  <c r="N8" i="14"/>
  <c r="J6" i="14"/>
  <c r="I6" i="14"/>
  <c r="L8" i="14"/>
  <c r="M8" i="14"/>
  <c r="I8" i="14"/>
  <c r="F6" i="14" l="1"/>
  <c r="F8" i="14"/>
</calcChain>
</file>

<file path=xl/sharedStrings.xml><?xml version="1.0" encoding="utf-8"?>
<sst xmlns="http://schemas.openxmlformats.org/spreadsheetml/2006/main" count="5576" uniqueCount="2030">
  <si>
    <t>ANTEPROYECTO DE PRESUPUESTO DE RENTAS E INGRESOS, GASTOS E INVERSIONES</t>
  </si>
  <si>
    <t xml:space="preserve">
UNIVERSIDAD DISTRITAL FRANCISCO JOSÉ DE CALDAS</t>
  </si>
  <si>
    <t>RUBRO PRESUPUESTAL</t>
  </si>
  <si>
    <t>APROPIACION</t>
  </si>
  <si>
    <t>DISPONIBILIDADES</t>
  </si>
  <si>
    <t>COMPROMISOS</t>
  </si>
  <si>
    <t>AUTORIZACION DE  GIRO</t>
  </si>
  <si>
    <t>POSPRE</t>
  </si>
  <si>
    <t>CÓDIGO SICAPITAL</t>
  </si>
  <si>
    <t>CÓDIGO SOFIA</t>
  </si>
  <si>
    <t>CENTRO DE COSTOS</t>
  </si>
  <si>
    <t>NOMBRE</t>
  </si>
  <si>
    <t xml:space="preserve"> INICIAL</t>
  </si>
  <si>
    <t>MODIFICACIONES</t>
  </si>
  <si>
    <t>VIGENTE</t>
  </si>
  <si>
    <t>ACUMULADO</t>
  </si>
  <si>
    <t>MES</t>
  </si>
  <si>
    <t>Necesidades presupuestales 2026</t>
  </si>
  <si>
    <t>Asignación 2026</t>
  </si>
  <si>
    <t>% DE EJECUCIÓN</t>
  </si>
  <si>
    <t>Registro</t>
  </si>
  <si>
    <t>Variación</t>
  </si>
  <si>
    <t>GASTOS</t>
  </si>
  <si>
    <t>O21</t>
  </si>
  <si>
    <t>3-01</t>
  </si>
  <si>
    <t>2.1</t>
  </si>
  <si>
    <t>Funcionamiento</t>
  </si>
  <si>
    <t>O211</t>
  </si>
  <si>
    <t>3-01-001</t>
  </si>
  <si>
    <t>2.1.1</t>
  </si>
  <si>
    <t>Gastos de personal</t>
  </si>
  <si>
    <t>O21101</t>
  </si>
  <si>
    <t>3-01-001-01</t>
  </si>
  <si>
    <t>2.1.1.01</t>
  </si>
  <si>
    <t>Planta de personal permanente</t>
  </si>
  <si>
    <t xml:space="preserve">                             -  </t>
  </si>
  <si>
    <t>O2110101</t>
  </si>
  <si>
    <t>3-01-001-01-01</t>
  </si>
  <si>
    <t>2.1.1.01.01</t>
  </si>
  <si>
    <t>Factores constitutivos de salario</t>
  </si>
  <si>
    <t>O2110101001</t>
  </si>
  <si>
    <t>2.1.1.01.01.001</t>
  </si>
  <si>
    <t>Factores salariales comunes</t>
  </si>
  <si>
    <t>O211010100101</t>
  </si>
  <si>
    <t>3-01-001-01-01-11</t>
  </si>
  <si>
    <t>2.1.1.01.01.001.01</t>
  </si>
  <si>
    <t>Sueldo básico</t>
  </si>
  <si>
    <t>Sueldo Básico</t>
  </si>
  <si>
    <t xml:space="preserve">                               -</t>
  </si>
  <si>
    <t>3-01-001-01-01-11-0001-00</t>
  </si>
  <si>
    <t>2.1.1.01.01.001.01.1</t>
  </si>
  <si>
    <t>A9902</t>
  </si>
  <si>
    <t>Sueldo Básico Administrativos</t>
  </si>
  <si>
    <t>3-01-001-01-01-11-0002-00</t>
  </si>
  <si>
    <t>2.1.1.01.01.001.01.2</t>
  </si>
  <si>
    <t>A9901</t>
  </si>
  <si>
    <t>Sueldo Básico Docentes</t>
  </si>
  <si>
    <t>3-01-001-01-01-11-0003-00</t>
  </si>
  <si>
    <t>2.1.1.01.01.001.01.3</t>
  </si>
  <si>
    <t>A9903</t>
  </si>
  <si>
    <t>Sueldo Trabajadores Oficiales</t>
  </si>
  <si>
    <t>O211010100102</t>
  </si>
  <si>
    <t>3-01-001-01-01-12</t>
  </si>
  <si>
    <t>2.1.1.01.01.001.02</t>
  </si>
  <si>
    <t>Horas extras, dominicales, festivos y recargos</t>
  </si>
  <si>
    <t>3-01-001-01-01-12-0001-00</t>
  </si>
  <si>
    <t>2.1.1.01.01.001.02.1</t>
  </si>
  <si>
    <t>Horas Extras, Dominicales, Festivos, Administrativos</t>
  </si>
  <si>
    <t>O211010100103</t>
  </si>
  <si>
    <t>3-01-001-01-01-13</t>
  </si>
  <si>
    <t>2.1.1.01.01.001.03</t>
  </si>
  <si>
    <t>Gastos de representación</t>
  </si>
  <si>
    <t>3-01-001-01-01-13-0001-00</t>
  </si>
  <si>
    <t>2.1.1.01.01.001.03.1</t>
  </si>
  <si>
    <t>Gastos de Representación Administrativos</t>
  </si>
  <si>
    <t>O211010100104</t>
  </si>
  <si>
    <t>3-01-001-01-01-14</t>
  </si>
  <si>
    <t>2.1.1.01.01.001.04</t>
  </si>
  <si>
    <t>Subsidio de alimentación</t>
  </si>
  <si>
    <t>3-01-001-01-01-14-0000-00</t>
  </si>
  <si>
    <t>O211010100105</t>
  </si>
  <si>
    <t>3-01-001-01-01-15</t>
  </si>
  <si>
    <t>2.1.1.01.01.001.05</t>
  </si>
  <si>
    <t>Auxilio de transporte</t>
  </si>
  <si>
    <t>3-01-001-01-01-15-0000-00</t>
  </si>
  <si>
    <t>O211010100107</t>
  </si>
  <si>
    <t>3-01-001-01-01-17</t>
  </si>
  <si>
    <t>2.1.1.01.01.001.07</t>
  </si>
  <si>
    <t>Bonificación por servicios prestados</t>
  </si>
  <si>
    <t>3-01-001-01-01-17-0001-00</t>
  </si>
  <si>
    <t>2.1.1.01.01.001.07.1</t>
  </si>
  <si>
    <t>Bonificación por Servicios Prestados Administrativos</t>
  </si>
  <si>
    <t>3-01-001-01-01-17-0002-00</t>
  </si>
  <si>
    <t>2.1.1.01.01.001.07.2</t>
  </si>
  <si>
    <t>Bonificación por Servicios Prestados Docentes</t>
  </si>
  <si>
    <t>O211010100108</t>
  </si>
  <si>
    <t>3-01-001-01-01-18</t>
  </si>
  <si>
    <t>2.1.1.01.01.001.08</t>
  </si>
  <si>
    <t>Prestaciones sociales</t>
  </si>
  <si>
    <t>O21101010010801</t>
  </si>
  <si>
    <t>3-01-001-01-01-18-0001</t>
  </si>
  <si>
    <t>2.1.1.01.01.001.08.01</t>
  </si>
  <si>
    <t>Prima de navidad</t>
  </si>
  <si>
    <t>3-01-001-01-01-18-0001-01</t>
  </si>
  <si>
    <t>2.1.1.01.01.001.08.01.1</t>
  </si>
  <si>
    <t>Prima de Navidad Administrativos</t>
  </si>
  <si>
    <t>3-01-001-01-01-18-0001-02</t>
  </si>
  <si>
    <t>2.1.1.01.01.001.08.01.2</t>
  </si>
  <si>
    <t>Prima de Navidad Docentes</t>
  </si>
  <si>
    <t>3-01-001-01-01-18-0001-03</t>
  </si>
  <si>
    <t>2.1.1.01.01.001.08.01.3</t>
  </si>
  <si>
    <t>Prima de Navidad Trabajadores Oficiales</t>
  </si>
  <si>
    <t xml:space="preserve">                                    -</t>
  </si>
  <si>
    <t xml:space="preserve">                             -</t>
  </si>
  <si>
    <t xml:space="preserve">                                   -</t>
  </si>
  <si>
    <t>O21101010010802</t>
  </si>
  <si>
    <t>3-01-001-01-01-18-0002</t>
  </si>
  <si>
    <t>2.1.1.01.01.001.08.02</t>
  </si>
  <si>
    <t>Prima de vacaciones</t>
  </si>
  <si>
    <t>3-01-001-01-01-18-0002-01</t>
  </si>
  <si>
    <t>2.1.1.01.01.001.08.02.1</t>
  </si>
  <si>
    <t>Prima de Vacaciones Administrativos</t>
  </si>
  <si>
    <t>3-01-001-01-01-18-0002-02</t>
  </si>
  <si>
    <t>2.1.1.01.01.001.08.02.2</t>
  </si>
  <si>
    <t>Prima de Vacaciones Docentes</t>
  </si>
  <si>
    <t>3-01-001-01-01-18-0002-03</t>
  </si>
  <si>
    <t>2.1.1.01.01.001.08.02.3</t>
  </si>
  <si>
    <t>Prima de Vacaciones Trabajadores Oficiales</t>
  </si>
  <si>
    <t>O211010100109</t>
  </si>
  <si>
    <t>3-01-001-01-01-19</t>
  </si>
  <si>
    <t>2.1.1.01.01.001.09</t>
  </si>
  <si>
    <t>Prima técnica salarial</t>
  </si>
  <si>
    <t>3-01-001-01-01-19-0001-00</t>
  </si>
  <si>
    <t>2.1.1.01.01.001.09.1</t>
  </si>
  <si>
    <t>Prima Técnica Administrativos</t>
  </si>
  <si>
    <t>O2110101002</t>
  </si>
  <si>
    <t>3-01-001-01-01-22</t>
  </si>
  <si>
    <t>2.1.1.01.01.002</t>
  </si>
  <si>
    <t>Factores salariales especiales</t>
  </si>
  <si>
    <t>O211010100204</t>
  </si>
  <si>
    <t>3-01-001-01-01-24</t>
  </si>
  <si>
    <t>2.1.1.01.01.002.04</t>
  </si>
  <si>
    <t>Prima semestral</t>
  </si>
  <si>
    <t>3-01-001-01-01-24-0001-01</t>
  </si>
  <si>
    <t>2.1.1.01.01.002.04.1</t>
  </si>
  <si>
    <t>Prima Semestral Administrativos</t>
  </si>
  <si>
    <t>3-01-001-01-01-24-0001-02</t>
  </si>
  <si>
    <t>2.1.1.01.01.002.04.2</t>
  </si>
  <si>
    <t>Prima Semetral Docentes</t>
  </si>
  <si>
    <t>3-01-001-01-01-24-0001-03</t>
  </si>
  <si>
    <t>2.1.1.01.01.002.04.3</t>
  </si>
  <si>
    <t>Prima Semestral Trabajadores Oficiales</t>
  </si>
  <si>
    <t>O211010100212</t>
  </si>
  <si>
    <t>3-01-001-01-01-22-0012</t>
  </si>
  <si>
    <t>2.1.1.01.01.002.12</t>
  </si>
  <si>
    <t>Prima de antigüedad</t>
  </si>
  <si>
    <t>O21101010021201</t>
  </si>
  <si>
    <t>3-01-001-01-01-22-0012-0</t>
  </si>
  <si>
    <t>2.1.1.01.01.002.12.01</t>
  </si>
  <si>
    <t>Beneficios a los empleados a corto plazo</t>
  </si>
  <si>
    <t>3-01-001-01-01-22-0012-01</t>
  </si>
  <si>
    <t>2.1.1.01.01.002.12.02.1</t>
  </si>
  <si>
    <t>Prima de Antigüedad Administrativos</t>
  </si>
  <si>
    <t>3-01-001-01-01-22-0012-02</t>
  </si>
  <si>
    <t>2.1.1.01.01.002.12.02.2</t>
  </si>
  <si>
    <t>Prima de Antigüedad Trabajadores Oficiales</t>
  </si>
  <si>
    <t>O2110102</t>
  </si>
  <si>
    <t>3-01-001-01-02</t>
  </si>
  <si>
    <t>2.1.1.01.02</t>
  </si>
  <si>
    <t>Contribuciones inherentes a la nómina</t>
  </si>
  <si>
    <t>O2110102001</t>
  </si>
  <si>
    <t>3-01-001-01-02-01</t>
  </si>
  <si>
    <t>2.1.1.01.02.001</t>
  </si>
  <si>
    <t>Aportes a la seguridad social en pensiones</t>
  </si>
  <si>
    <t>O211010200101</t>
  </si>
  <si>
    <t>3-01-001-01-02-01-0001</t>
  </si>
  <si>
    <t>2.1.1.01.02.001.01</t>
  </si>
  <si>
    <t>Aportes a la seguridad social en pensiones públicas</t>
  </si>
  <si>
    <t>3-01-001-01-02-01-0001-01</t>
  </si>
  <si>
    <t>2.1.1.01.02.001.01.1</t>
  </si>
  <si>
    <t>Pensiones Públicas Administrativos</t>
  </si>
  <si>
    <t>3-01-001-01-02-01-0001-02</t>
  </si>
  <si>
    <t>2.1.1.01.02.001.01.2</t>
  </si>
  <si>
    <t>Pensiones Públicas Docentes</t>
  </si>
  <si>
    <t>3-01-001-01-02-01-0001-03</t>
  </si>
  <si>
    <t>2.1.1.01.02.001.01.3</t>
  </si>
  <si>
    <t>Pensiones Públicas Trabajadores Oficiales</t>
  </si>
  <si>
    <t>O211010200102</t>
  </si>
  <si>
    <t>3-01-001-01-02-01-0002</t>
  </si>
  <si>
    <t>2.1.1.01.02.001.02</t>
  </si>
  <si>
    <t>Aportes a la seguridad social en pensiones privadas</t>
  </si>
  <si>
    <t>3-01-001-01-02-01-0002-01</t>
  </si>
  <si>
    <t>2.1.1.01.02.001.02.1</t>
  </si>
  <si>
    <t>Pensiones Privadas Administrativos</t>
  </si>
  <si>
    <t>3-01-001-01-02-01-0002-02</t>
  </si>
  <si>
    <t>2.1.1.01.02.001.02.2</t>
  </si>
  <si>
    <t>Pensiones Privadas Docentes</t>
  </si>
  <si>
    <t>3-01-001-01-02-01-0002-03</t>
  </si>
  <si>
    <t>2.1.1.01.02.001.02.3</t>
  </si>
  <si>
    <t>Pensiones Privadas Trabajadores Oficiales</t>
  </si>
  <si>
    <t>O2110102002</t>
  </si>
  <si>
    <t>3-01-001-01-02-02</t>
  </si>
  <si>
    <t>2.1.1.01.02.002</t>
  </si>
  <si>
    <t>Aportes a la seguridad social en salud</t>
  </si>
  <si>
    <t>O211010200202</t>
  </si>
  <si>
    <t>3-01-001-01-02-02-0002</t>
  </si>
  <si>
    <t>2.1.1.01.02.002.02</t>
  </si>
  <si>
    <t>Aportes a la seguridad social en salud privada</t>
  </si>
  <si>
    <t>3-01-001-01-02-02-0002-01</t>
  </si>
  <si>
    <t>2.1.1.01.02.002.02.1</t>
  </si>
  <si>
    <t>Salud Privada Administrativos</t>
  </si>
  <si>
    <t>3-01-001-01-02-02-0002-02</t>
  </si>
  <si>
    <t>2.1.1.01.02.002.02.2</t>
  </si>
  <si>
    <t>Salud Privada Docentes</t>
  </si>
  <si>
    <t>3-01-001-01-02-02-0002-03</t>
  </si>
  <si>
    <t>2.1.1.01.02.002.02.3</t>
  </si>
  <si>
    <t>Salud Privada Trabajadores Oficiales</t>
  </si>
  <si>
    <t>O2110102003</t>
  </si>
  <si>
    <t>3-01-001-01-02-03</t>
  </si>
  <si>
    <t>2.1.1.01.02.003</t>
  </si>
  <si>
    <t xml:space="preserve">Aportes de cesantías </t>
  </si>
  <si>
    <t>O211010200301</t>
  </si>
  <si>
    <t>3-01-001-01-02-03-0001</t>
  </si>
  <si>
    <t>2.1.1.01.02.003.01</t>
  </si>
  <si>
    <t>Aportes de cesantías a fondos públicos</t>
  </si>
  <si>
    <t>3-01-001-01-02-03-0001-01</t>
  </si>
  <si>
    <t>2.1.1.01.02.003.01.1</t>
  </si>
  <si>
    <t>Cesantías Fondos Públicos Administrativos</t>
  </si>
  <si>
    <t>3-01-001-01-02-03-0001-02</t>
  </si>
  <si>
    <t>2.1.1.01.02.003.01.2</t>
  </si>
  <si>
    <t>Cesantías Fondos Públicos Docentes</t>
  </si>
  <si>
    <t>3-01-001-01-02-03-0001-03</t>
  </si>
  <si>
    <t>2.1.1.01.02.003.01.3</t>
  </si>
  <si>
    <t>Cesantías Fondos Públicos Trabajadores Oficiales</t>
  </si>
  <si>
    <t>O211010200302</t>
  </si>
  <si>
    <t>3-01-001-01-02-03-0002</t>
  </si>
  <si>
    <t>2.1.1.01.02.003.02</t>
  </si>
  <si>
    <t>Aportes de cesantías a fondos privados</t>
  </si>
  <si>
    <t>3-01-001-01-02-03-0002-01</t>
  </si>
  <si>
    <t>2.1.1.01.02.003.02.1</t>
  </si>
  <si>
    <t>Cesantías Fondos Privados Administrativos</t>
  </si>
  <si>
    <t>3-01-001-01-02-03-0002-02</t>
  </si>
  <si>
    <t>2.1.1.01.02.003.02.2</t>
  </si>
  <si>
    <t>Cesantías Fondos Privados Docentes</t>
  </si>
  <si>
    <t>3-01-001-01-02-03-0002-03</t>
  </si>
  <si>
    <t>2.1.1.01.02.003.02.3</t>
  </si>
  <si>
    <t>Cesantías Fondos Privados Trabajadores Oficiales</t>
  </si>
  <si>
    <t>O2110102004</t>
  </si>
  <si>
    <t>3-01-001-01-02-04</t>
  </si>
  <si>
    <t>2.1.1.01.02.004</t>
  </si>
  <si>
    <t>Aportes a cajas de compensación familiar</t>
  </si>
  <si>
    <t>O211010200401</t>
  </si>
  <si>
    <t>3-01-001-01-02-04-0001</t>
  </si>
  <si>
    <t>2.1.1.01.02.004.01</t>
  </si>
  <si>
    <t>Compensar</t>
  </si>
  <si>
    <t>3-01-001-01-02-04-0001-01</t>
  </si>
  <si>
    <t>2.1.1.01.02.004.01.1</t>
  </si>
  <si>
    <t>Caja de Compensación Administrativos</t>
  </si>
  <si>
    <t>3-01-001-01-02-04-0001-02</t>
  </si>
  <si>
    <t>2.1.1.01.02.004.01.2</t>
  </si>
  <si>
    <t>Caja de Compensación Docentes</t>
  </si>
  <si>
    <t>3-01-001-01-02-04-0001-03</t>
  </si>
  <si>
    <t>2.1.1.01.02.004.01.3</t>
  </si>
  <si>
    <t>Caja de Compensación Trabajadores Oficiales</t>
  </si>
  <si>
    <t>O2110102005</t>
  </si>
  <si>
    <t>3-01-001-01-02-05</t>
  </si>
  <si>
    <t>2.1.1.01.02.005</t>
  </si>
  <si>
    <t>Aportes generales al sistema de riesgos laborales</t>
  </si>
  <si>
    <t>O211010200501</t>
  </si>
  <si>
    <t>3-01-001-01-02-05-0001</t>
  </si>
  <si>
    <t>2.1.1.01.02.005.01</t>
  </si>
  <si>
    <t>Aportes generales al sistema de riesgos laborales públicos</t>
  </si>
  <si>
    <t>3-01-001-01-02-05-0001-01</t>
  </si>
  <si>
    <t>2.1.1.01.02.005.01.1</t>
  </si>
  <si>
    <t>Riesgos Laborales Administrativos</t>
  </si>
  <si>
    <t>3-01-001-01-02-05-0001-02</t>
  </si>
  <si>
    <t>2.1.1.01.02.005.01.2</t>
  </si>
  <si>
    <t>Riesgos Laborales Docentes</t>
  </si>
  <si>
    <t>3-01-001-01-02-05-0001-03</t>
  </si>
  <si>
    <t>2.1.1.01.02.005.01.3</t>
  </si>
  <si>
    <t>Riesgos Laborales Trabajadores Oficiales</t>
  </si>
  <si>
    <t>O2110102006</t>
  </si>
  <si>
    <t>3-01-001-01-02-06</t>
  </si>
  <si>
    <t>2.1.1.01.02.006</t>
  </si>
  <si>
    <t>Aportes al ICBF</t>
  </si>
  <si>
    <t>3-01-001-01-02-06-0001-00</t>
  </si>
  <si>
    <t>2.1.1.01.02.006.1</t>
  </si>
  <si>
    <t>ICBF Administrativos</t>
  </si>
  <si>
    <t>3-01-001-01-02-06-0002-00</t>
  </si>
  <si>
    <t>2.1.1.01.02.006.2</t>
  </si>
  <si>
    <t>ICBF Docentes</t>
  </si>
  <si>
    <t>3-01-001-01-02-06-0003-00</t>
  </si>
  <si>
    <t>2.1.1.01.02.006.3</t>
  </si>
  <si>
    <t>ICBF Trabajadores Oficiales</t>
  </si>
  <si>
    <t>O2110103</t>
  </si>
  <si>
    <t>3-01-001-01-03</t>
  </si>
  <si>
    <t>2.1.1.01.03</t>
  </si>
  <si>
    <t>Remuneraciones no constitutivas de factor salarial</t>
  </si>
  <si>
    <t>O2110103001</t>
  </si>
  <si>
    <t>3-01-001-01-03-01</t>
  </si>
  <si>
    <t>2.1.1.01.03.001</t>
  </si>
  <si>
    <t>O211010300102</t>
  </si>
  <si>
    <t>2.1.1.01.03.001.02</t>
  </si>
  <si>
    <t>Indemnización por vacaciones</t>
  </si>
  <si>
    <t xml:space="preserve">                                -</t>
  </si>
  <si>
    <t xml:space="preserve">                                     -</t>
  </si>
  <si>
    <t>O211010300103</t>
  </si>
  <si>
    <t>3-01-001-01-03-01-0003-00</t>
  </si>
  <si>
    <t>2.1.1.01.03.001.03</t>
  </si>
  <si>
    <t>Bonificación especial de recreación</t>
  </si>
  <si>
    <t>O2110103005</t>
  </si>
  <si>
    <t>3-01-001-01-03-05-0000-00</t>
  </si>
  <si>
    <t>2.1.1.01.03.005</t>
  </si>
  <si>
    <t>Reconocimiento por permanencia en el servicio público - Bogotá D.C.</t>
  </si>
  <si>
    <t xml:space="preserve">                                  -  </t>
  </si>
  <si>
    <t xml:space="preserve">                           -  </t>
  </si>
  <si>
    <t>O2110103068</t>
  </si>
  <si>
    <t>3-01-001-01-03-68-0000-00</t>
  </si>
  <si>
    <t>2.1.1.01.03.068</t>
  </si>
  <si>
    <t>Prima secretarial</t>
  </si>
  <si>
    <t>O2110103121</t>
  </si>
  <si>
    <t>3-01-001-01-01-25</t>
  </si>
  <si>
    <t>2.1.1.01.03.121</t>
  </si>
  <si>
    <t>Bonificación permanente extralegal (Beneficios convencionales)</t>
  </si>
  <si>
    <t>3-01-001-01-01-25-0099</t>
  </si>
  <si>
    <t>3-01-001-01-01-25-0099-01</t>
  </si>
  <si>
    <t>2.1.1.01.03.121.1</t>
  </si>
  <si>
    <t>Quinquenios</t>
  </si>
  <si>
    <t>Trabajadores Oficiales</t>
  </si>
  <si>
    <t>3-01-001-01-01-25-0099-02</t>
  </si>
  <si>
    <t>2.1.1.01.03.121.2</t>
  </si>
  <si>
    <t>Aportes Convención Colectiva de Trabajadores</t>
  </si>
  <si>
    <t>A150101</t>
  </si>
  <si>
    <t>SINTRAUD</t>
  </si>
  <si>
    <t>3-01-001-01-01-25-0099-03</t>
  </si>
  <si>
    <t>2.1.1.01.03.121.3</t>
  </si>
  <si>
    <t>Aportes Organizaciones Sindicales - Acuerdos de Negociación</t>
  </si>
  <si>
    <t>A150102</t>
  </si>
  <si>
    <t>ASEPAD</t>
  </si>
  <si>
    <t>A150201</t>
  </si>
  <si>
    <t>ASPU-UD</t>
  </si>
  <si>
    <t>A150202</t>
  </si>
  <si>
    <t>SIPRUD</t>
  </si>
  <si>
    <t>3-01-001-01-01-25-0099-04</t>
  </si>
  <si>
    <t>2.1.1.01.03.121.4</t>
  </si>
  <si>
    <t>Subsidio Familiar</t>
  </si>
  <si>
    <t>A140201</t>
  </si>
  <si>
    <t>Oficina de Talento Humano</t>
  </si>
  <si>
    <t>3-01-001-01-01-25-0099-05</t>
  </si>
  <si>
    <t>2.1.1.01.03.121.5</t>
  </si>
  <si>
    <t>Plan de Salud Trabajadores Oficiales</t>
  </si>
  <si>
    <t>3-01-001-01-01-25-0099-06</t>
  </si>
  <si>
    <t>2.1.1.01.03.121.6</t>
  </si>
  <si>
    <t>Plan de Salud de Pensionados</t>
  </si>
  <si>
    <t>A1601</t>
  </si>
  <si>
    <t>Pensionados Universidad Distrital</t>
  </si>
  <si>
    <t>3-01-001-01-01-25-0099-07</t>
  </si>
  <si>
    <t>2.1.1.01.03.121.7</t>
  </si>
  <si>
    <t>Subsidio libros pensionados</t>
  </si>
  <si>
    <t>3-01-001-01-01-25-0099-08</t>
  </si>
  <si>
    <t>2.1.1.01.03.121.8</t>
  </si>
  <si>
    <t>Subsidio familiar pensionados</t>
  </si>
  <si>
    <t>3-01-001-01-01-25-0099-09</t>
  </si>
  <si>
    <t>2.1.1.01.03.121.9</t>
  </si>
  <si>
    <t>Educación Libros Convención Colectiva</t>
  </si>
  <si>
    <t>3-01-001-01-01-25-0099-10</t>
  </si>
  <si>
    <t>2.1.1.01.03.121.10</t>
  </si>
  <si>
    <t>Defunción y Matrimonio Personal administrativo</t>
  </si>
  <si>
    <t>3-01-001-01-01-25-0099-11</t>
  </si>
  <si>
    <t>2.1.1.01.03.121.11</t>
  </si>
  <si>
    <t>Convención Colectiva y Mesas de Diálogo - Bienestar Institucional</t>
  </si>
  <si>
    <t>A1501</t>
  </si>
  <si>
    <t>Organizaciones sindicales administrativas</t>
  </si>
  <si>
    <t>3-01-001-01-01-25-0099-12</t>
  </si>
  <si>
    <t>2.1.1.01.03.121.12</t>
  </si>
  <si>
    <t>Auxilios e Incentivos Acuerdos de Negociación Sindicales</t>
  </si>
  <si>
    <t>O21102</t>
  </si>
  <si>
    <t>3-01-001-02</t>
  </si>
  <si>
    <t>2.1.1.02</t>
  </si>
  <si>
    <t>Personal supernumerario y planta temporal - DOCENTES VINCULACIÓN ESPECIAL Y HORA CÁTEDRA</t>
  </si>
  <si>
    <t>O2110201</t>
  </si>
  <si>
    <t>3-01-001-02-01</t>
  </si>
  <si>
    <t>2.1.1.02.01</t>
  </si>
  <si>
    <t>O2110201001</t>
  </si>
  <si>
    <t>3-01-001-02-01-11</t>
  </si>
  <si>
    <t>2.1.1.02.01.001</t>
  </si>
  <si>
    <t>O211020100101</t>
  </si>
  <si>
    <t>3-01-001-02-01-11-0001</t>
  </si>
  <si>
    <t>2.1.1.02.01.001.01</t>
  </si>
  <si>
    <t>2.1.1.02.01.001.01.01</t>
  </si>
  <si>
    <t>Sueldo básico pregrado</t>
  </si>
  <si>
    <t>3-01-001-02-01-11-0001-01</t>
  </si>
  <si>
    <t>2.1.1.02.01.001.01.01.01</t>
  </si>
  <si>
    <t>A130201</t>
  </si>
  <si>
    <t>Sueldo Básico Pregrado Facultad de Ingeniería</t>
  </si>
  <si>
    <t>3-01-001-02-01-11-0001-02</t>
  </si>
  <si>
    <t>2.1.1.02.01.001.01.01.02</t>
  </si>
  <si>
    <t>A130202</t>
  </si>
  <si>
    <t>Sueldo Básico Pregrado Facultad de Ciencias y Educación</t>
  </si>
  <si>
    <t>3-01-001-02-01-11-0001-03</t>
  </si>
  <si>
    <t>2.1.1.02.01.001.01.01.03</t>
  </si>
  <si>
    <t>A130203</t>
  </si>
  <si>
    <t>Sueldo Básico Pregrado Facultad de Medio ambiente y recursos naturales</t>
  </si>
  <si>
    <t>3-01-001-02-01-11-0001-04</t>
  </si>
  <si>
    <t>2.1.1.02.01.001.01.01.04</t>
  </si>
  <si>
    <t>A130204</t>
  </si>
  <si>
    <t>Sueldo Básico Pregrado Facultad Tecnológica</t>
  </si>
  <si>
    <t>3-01-001-02-01-11-0001-05</t>
  </si>
  <si>
    <t>2.1.1.02.01.001.01.01.05</t>
  </si>
  <si>
    <t>A130205</t>
  </si>
  <si>
    <t>Sueldo Básico Pregrado Facultad Artes ASAB</t>
  </si>
  <si>
    <t>3-01-001-02-01-11-0001-06</t>
  </si>
  <si>
    <t>2.1.1.02.01.001.01.01.06</t>
  </si>
  <si>
    <t>A1313</t>
  </si>
  <si>
    <t>Sueldo Básico Pregrado Ilud</t>
  </si>
  <si>
    <t>2.1.1.02.01.001.01.01.07</t>
  </si>
  <si>
    <t>Sueldo Básico Facultad de Ciencias y Educación - Maestría en Educación Guajira</t>
  </si>
  <si>
    <t>3-01-001-02-01-11-0001-08</t>
  </si>
  <si>
    <t>2.1.1.02.01.001.01.01.08</t>
  </si>
  <si>
    <t>A130206</t>
  </si>
  <si>
    <t>Sueldo Básico Pregrado Facultad de Ciencias Matemáticas y Naturales</t>
  </si>
  <si>
    <t>3-01-001-02-01-11-0001-14</t>
  </si>
  <si>
    <t>2.1.1.02.01.001.01.01.09</t>
  </si>
  <si>
    <t>A130207</t>
  </si>
  <si>
    <t>Sueldo Básico Pregrado Facultad de Ciencias de la Salud</t>
  </si>
  <si>
    <t>2.1.1.02.01.001.01.02</t>
  </si>
  <si>
    <t>Sueldo básico posgrado</t>
  </si>
  <si>
    <t>3-01-001-02-01-11-0001-09</t>
  </si>
  <si>
    <t>2.1.1.02.01.001.01.02.01</t>
  </si>
  <si>
    <t>Sueldo Básico Posgrado Facultad de Ingeniería</t>
  </si>
  <si>
    <t>3-01-001-02-01-11-0001-10</t>
  </si>
  <si>
    <t>2.1.1.02.01.001.01.02.02</t>
  </si>
  <si>
    <t>Sueldo Básico Posgrado Facultad de Ciencias y Educación</t>
  </si>
  <si>
    <t>3-01-001-02-01-11-0001-11</t>
  </si>
  <si>
    <t>2.1.1.02.01.001.01.02.03</t>
  </si>
  <si>
    <t>Sueldo Básico Posgrado Facultad de Medio ambiente y recursos naturales</t>
  </si>
  <si>
    <t>3-01-001-02-01-11-0001-12</t>
  </si>
  <si>
    <t>2.1.1.02.01.001.01.02.04</t>
  </si>
  <si>
    <t>Sueldo Básico Posgrado Facultad Tecnológica</t>
  </si>
  <si>
    <t>3-01-001-02-01-11-0001-13</t>
  </si>
  <si>
    <t>2.1.1.02.01.001.01.02.05</t>
  </si>
  <si>
    <t>Sueldo Básico Posgrado Facultad Artes ASAB</t>
  </si>
  <si>
    <t>2.1.1.02.01.001.01.02.06</t>
  </si>
  <si>
    <t>Sueldo Básico Posgrado Facultad de Ciencias Matemáticas y Naturales</t>
  </si>
  <si>
    <t>O211020100106</t>
  </si>
  <si>
    <t>3-01-001-02-01-16</t>
  </si>
  <si>
    <t>2.1.1.02.01.001.06</t>
  </si>
  <si>
    <t>Prima de servicio</t>
  </si>
  <si>
    <t xml:space="preserve">                                 -  </t>
  </si>
  <si>
    <t>2.1.1.02.01.001.06.01</t>
  </si>
  <si>
    <t>Prima de servicios pregrado</t>
  </si>
  <si>
    <t>3-01-001-02-01-16-0001-00</t>
  </si>
  <si>
    <t>2.1.1.02.01.001.06.01.01</t>
  </si>
  <si>
    <t>Prima de Servicios Pregrado Facultad de Ingeniería</t>
  </si>
  <si>
    <t>3-01-001-02-01-16-0002-00</t>
  </si>
  <si>
    <t>2.1.1.02.01.001.06.01.02</t>
  </si>
  <si>
    <t>Prima de Servicios Pregrado Facultad de Ciencias y Educación</t>
  </si>
  <si>
    <t>3-01-001-02-01-16-0003-00</t>
  </si>
  <si>
    <t>2.1.1.02.01.001.06.01.03</t>
  </si>
  <si>
    <t>Prima de Servicios Pregrado Facultad de Medio ambiente y recursos naturales</t>
  </si>
  <si>
    <t>3-01-001-02-01-16-0004-00</t>
  </si>
  <si>
    <t>2.1.1.02.01.001.06.01.04</t>
  </si>
  <si>
    <t>Prima de Servicios Pregrado Facultad Tecnológica</t>
  </si>
  <si>
    <t>3-01-001-02-01-16-0005-00</t>
  </si>
  <si>
    <t>2.1.1.02.01.001.06.01.05</t>
  </si>
  <si>
    <t>Prima de Servicios Pregrado Facultad Artes ASAB</t>
  </si>
  <si>
    <t>2.1.1.02.01.001.06.01.06</t>
  </si>
  <si>
    <t>Prima de Servicios Pregrado Ilud</t>
  </si>
  <si>
    <t>3-01-001-02-01-16-0007-00</t>
  </si>
  <si>
    <t>2.1.1.02.01.001.06.01.07</t>
  </si>
  <si>
    <t>Prima de Servicios Pregrado Facultad de Ciencias Matemáticas y Naturales</t>
  </si>
  <si>
    <t>2.1.1.02.01.001.06.01.08</t>
  </si>
  <si>
    <t>Prima de Servicios Pregrado Facultad de Ciencias de la Salud</t>
  </si>
  <si>
    <t>2.1.1.02.01.001.06.02</t>
  </si>
  <si>
    <t>Prima de servicios posgrado</t>
  </si>
  <si>
    <t xml:space="preserve">                              -  </t>
  </si>
  <si>
    <t xml:space="preserve">                                   -  </t>
  </si>
  <si>
    <t>2.1.1.02.01.001.06.02.01</t>
  </si>
  <si>
    <t>Prima de Servicios Posgrado Facultad de Ingeniería</t>
  </si>
  <si>
    <t>2.1.1.02.01.001.06.02.02</t>
  </si>
  <si>
    <t>Prima de Servicios Posgrado Facultad de Ciencias y Educación</t>
  </si>
  <si>
    <t>2.1.1.02.01.001.06.02.03</t>
  </si>
  <si>
    <t>Prima de Servicios Posgrado Facultad de Medio ambiente y recursos naturales</t>
  </si>
  <si>
    <t>2.1.1.02.01.001.06.02.04</t>
  </si>
  <si>
    <t>Prima de Servicios Posgrado Facultad Tecnológica</t>
  </si>
  <si>
    <t>2.1.1.02.01.001.06.02.05</t>
  </si>
  <si>
    <t>Prima de Servicios Posgrado Facultad Artes ASAB</t>
  </si>
  <si>
    <t>2.1.1.02.01.001.06.02.06</t>
  </si>
  <si>
    <t>Prima de Servicios Posgrado Facultad de Ciencias Matemáticas y Naturales</t>
  </si>
  <si>
    <t>O211020100108</t>
  </si>
  <si>
    <t>3-01-001-02-01-18</t>
  </si>
  <si>
    <t>2.1.1.02.01.001.08</t>
  </si>
  <si>
    <t>O21102010010801</t>
  </si>
  <si>
    <t>3-01-001-02-01-18-0001</t>
  </si>
  <si>
    <t>2.1.1.02.01.001.08.01</t>
  </si>
  <si>
    <t>2.1.1.02.01.001.08.01.01</t>
  </si>
  <si>
    <t>Prima de navidad pregrado</t>
  </si>
  <si>
    <t>3-01-001-02-01-18-0001-01</t>
  </si>
  <si>
    <t>2.1.1.02.01.001.08.01.01.01</t>
  </si>
  <si>
    <t>Prima de Navidad Pregrado Facultad de Ingeniería</t>
  </si>
  <si>
    <t>3-01-001-02-01-18-0001-02</t>
  </si>
  <si>
    <t>2.1.1.02.01.001.08.01.01.02</t>
  </si>
  <si>
    <t>Prima de Navidad Pregrado Facultad de Ciencias y Educación</t>
  </si>
  <si>
    <t>3-01-001-02-01-18-0001-03</t>
  </si>
  <si>
    <t>2.1.1.02.01.001.08.01.01.03</t>
  </si>
  <si>
    <t>Prima de Navidad Pregrado Facultad de Medio ambiente y recursos naturales</t>
  </si>
  <si>
    <t>3-01-001-02-01-18-0001-04</t>
  </si>
  <si>
    <t>2.1.1.02.01.001.08.01.01.04</t>
  </si>
  <si>
    <t>Prima de Navidad Pregrado Facultad Tecnológica</t>
  </si>
  <si>
    <t>3-01-001-02-01-18-0001-05</t>
  </si>
  <si>
    <t>2.1.1.02.01.001.08.01.01.05</t>
  </si>
  <si>
    <t>Prima de Navidad Pregrado Facultad Artes ASAB</t>
  </si>
  <si>
    <t>3-01-001-02-01-18-0001-06</t>
  </si>
  <si>
    <t>2.1.1.02.01.001.08.01.01.06</t>
  </si>
  <si>
    <t>Prima de Navidad Pregrado Ilud</t>
  </si>
  <si>
    <t>3-01-001-02-01-18-0001-07</t>
  </si>
  <si>
    <t>2.1.1.02.01.001.08.01.01.07</t>
  </si>
  <si>
    <t>Prima de Navidad Pregrado Facultad de Ciencias Matemáticas y Naturales</t>
  </si>
  <si>
    <t>3-01-001-02-01-18-0001-13</t>
  </si>
  <si>
    <t>2.1.1.02.01.001.08.01.01.08</t>
  </si>
  <si>
    <t>Prima de Navidad Pregrado Facultad de Ciencias de la Salud</t>
  </si>
  <si>
    <t>2.1.1.02.01.001.08.01.02</t>
  </si>
  <si>
    <t>Prima de navidad posgrado</t>
  </si>
  <si>
    <t>3-01-001-02-01-18-0001-08</t>
  </si>
  <si>
    <t>2.1.1.02.01.001.08.01.02.01</t>
  </si>
  <si>
    <t>Prima de Navidad Posgrado Facultad de Ingeniería</t>
  </si>
  <si>
    <t>3-01-001-02-01-18-0001-09</t>
  </si>
  <si>
    <t>2.1.1.02.01.001.08.01.02.02</t>
  </si>
  <si>
    <t>Prima de Navidad Posgrado Facultad de Ciencias y Educación</t>
  </si>
  <si>
    <t>3-01-001-02-01-18-0001-10</t>
  </si>
  <si>
    <t>2.1.1.02.01.001.08.01.02.03</t>
  </si>
  <si>
    <t>Prima de Navidad Posgrado Facultad de Medio ambiente y recursos naturales</t>
  </si>
  <si>
    <t>3-01-001-02-01-18-0001-11</t>
  </si>
  <si>
    <t>2.1.1.02.01.001.08.01.02.04</t>
  </si>
  <si>
    <t>Prima de Navidad Posgrado Facultad Tecnológica</t>
  </si>
  <si>
    <t>3-01-001-02-01-18-0001-12</t>
  </si>
  <si>
    <t>2.1.1.02.01.001.08.01.02.05</t>
  </si>
  <si>
    <t>Prima de Navidad Posgrado Facultad Artes ASAB</t>
  </si>
  <si>
    <t>2.1.1.02.01.001.08.01.02.06</t>
  </si>
  <si>
    <t>Prima de Navidad Posgrado Facultad de Ciencias Matemáticas y Naturales</t>
  </si>
  <si>
    <t>O21102010010802</t>
  </si>
  <si>
    <t>3-01-001-02-01-18-0002</t>
  </si>
  <si>
    <t>2.1.1.02.01.001.08.02</t>
  </si>
  <si>
    <t>2.1.1.02.01.001.08.02.01</t>
  </si>
  <si>
    <t>Prima de vacaciones pregrado</t>
  </si>
  <si>
    <t>3-01-001-02-01-18-0002-01</t>
  </si>
  <si>
    <t>2.1.1.02.01.001.08.02.01.01</t>
  </si>
  <si>
    <t>Prima de Vacaciones Pregrado Facultad de Ingeniería</t>
  </si>
  <si>
    <t>3-01-001-02-01-18-0002-02</t>
  </si>
  <si>
    <t>2.1.1.02.01.001.08.02.01.02</t>
  </si>
  <si>
    <t>Prima de Vacaciones Pregrado Facultad de Ciencias y Educación</t>
  </si>
  <si>
    <t>3-01-001-02-01-18-0002-03</t>
  </si>
  <si>
    <t>2.1.1.02.01.001.08.02.01.03</t>
  </si>
  <si>
    <t>Prima de Vacaciones Pregrado Facultad de Medio ambiente y recursos naturales</t>
  </si>
  <si>
    <t>3-01-001-02-01-18-0002-04</t>
  </si>
  <si>
    <t>2.1.1.02.01.001.08.02.01.04</t>
  </si>
  <si>
    <t>Prima de Vacaciones Pregrado Facultad Tecnológica</t>
  </si>
  <si>
    <t>3-01-001-02-01-18-0002-05</t>
  </si>
  <si>
    <t>2.1.1.02.01.001.08.02.01.05</t>
  </si>
  <si>
    <t>Prima de Vacaciones Pregrado Facultad Artes ASAB</t>
  </si>
  <si>
    <t>3-01-001-02-01-18-0002-06</t>
  </si>
  <si>
    <t>2.1.1.02.01.001.08.02.01.06</t>
  </si>
  <si>
    <t>Prima de Vacaciones Pregrado Ilud</t>
  </si>
  <si>
    <t>3-01-001-02-01-18-0002-07</t>
  </si>
  <si>
    <t>2.1.1.02.01.001.08.02.01.07</t>
  </si>
  <si>
    <t>Prima de Vacaciones Pregrado Facultad de Ciencias Matemáticas y Naturales</t>
  </si>
  <si>
    <t>3-01-001-02-01-18-0002-13</t>
  </si>
  <si>
    <t>2.1.1.02.01.001.08.02.01.08</t>
  </si>
  <si>
    <t>Prima de Vacaciones Pregrado Facultad de Ciencias de la Salud</t>
  </si>
  <si>
    <t>2.1.1.02.01.001.08.02.02</t>
  </si>
  <si>
    <t>Prima de vacaciones posgrado</t>
  </si>
  <si>
    <t>3-01-001-02-01-18-0002-08</t>
  </si>
  <si>
    <t>2.1.1.02.01.001.08.02.02.01</t>
  </si>
  <si>
    <t>Prima de Vacaciones Posgrado Facultad de Ingeniería</t>
  </si>
  <si>
    <t>3-01-001-02-01-18-0002-09</t>
  </si>
  <si>
    <t>2.1.1.02.01.001.08.02.02.02</t>
  </si>
  <si>
    <t>Prima de Vacaciones Posgrado Facultad de Ciencias y Educación</t>
  </si>
  <si>
    <t>3-01-001-02-01-18-0002-10</t>
  </si>
  <si>
    <t>2.1.1.02.01.001.08.02.02.03</t>
  </si>
  <si>
    <t>Prima de Vacaciones Posgrado Facultad de Medio ambiente y recursos naturales</t>
  </si>
  <si>
    <t>3-01-001-02-01-18-0002-11</t>
  </si>
  <si>
    <t>2.1.1.02.01.001.08.02.02.04</t>
  </si>
  <si>
    <t>Prima de Vacaciones Posgrado Facultad Tecnológica</t>
  </si>
  <si>
    <t>3-01-001-02-01-18-0002-12</t>
  </si>
  <si>
    <t>2.1.1.02.01.001.08.02.02.05</t>
  </si>
  <si>
    <t>Prima de Vacaciones Posgrado Facultad Artes ASAB</t>
  </si>
  <si>
    <t>2.1.1.02.01.001.08.02.02.06</t>
  </si>
  <si>
    <t>Prima de Vacaciones Posgrado Facultad de Ciencias Matemáticas y Naturales</t>
  </si>
  <si>
    <t>O2110202</t>
  </si>
  <si>
    <t>3-01-001-02-02</t>
  </si>
  <si>
    <t>2.1.1.02.02</t>
  </si>
  <si>
    <t>O2110202001</t>
  </si>
  <si>
    <t>3-01-001-02-02-01</t>
  </si>
  <si>
    <t>2.1.1.02.02.001</t>
  </si>
  <si>
    <t>O211020200101</t>
  </si>
  <si>
    <t>3-01-001-02-02-01-0001</t>
  </si>
  <si>
    <t>2.1.1.02.02.001.01</t>
  </si>
  <si>
    <t>2.1.1.02.02.001.01.01</t>
  </si>
  <si>
    <t>Aportes a la seguridad social en pensiones públicas pregrado</t>
  </si>
  <si>
    <t>3-01-001-02-02-01-0001-01</t>
  </si>
  <si>
    <t>2.1.1.02.02.001.01.01.01</t>
  </si>
  <si>
    <t>Pensiones Públicas Pregrado Facultad de Ingeniería</t>
  </si>
  <si>
    <t>3-01-001-02-02-01-0001-02</t>
  </si>
  <si>
    <t>2.1.1.02.02.001.01.01.02</t>
  </si>
  <si>
    <t>Pensiones Públicas Pregrado Facultad de Ciencias y Educación</t>
  </si>
  <si>
    <t>3-01-001-02-02-01-0001-03</t>
  </si>
  <si>
    <t>2.1.1.02.02.001.01.01.03</t>
  </si>
  <si>
    <t>Pensiones Públicas Pregrado Facultad de Medio ambiente y recursos naturales</t>
  </si>
  <si>
    <t>3-01-001-02-02-01-0001-04</t>
  </si>
  <si>
    <t>2.1.1.02.02.001.01.01.04</t>
  </si>
  <si>
    <t>Pensiones Públicas Pregrado Facultad Tecnológica</t>
  </si>
  <si>
    <t>3-01-001-02-02-01-0001-05</t>
  </si>
  <si>
    <t>2.1.1.02.02.001.01.01.05</t>
  </si>
  <si>
    <t>Pensiones Públicas Pregrado Facultad Artes ASAB</t>
  </si>
  <si>
    <t>3-01-001-02-02-01-0001-06</t>
  </si>
  <si>
    <t>2.1.1.02.02.001.01.01.06</t>
  </si>
  <si>
    <t>Pensiones Públicas Pregrado Ilud</t>
  </si>
  <si>
    <t>3-01-001-02-02-01-0001-07</t>
  </si>
  <si>
    <t>2.1.1.02.02.001.01.01.07</t>
  </si>
  <si>
    <t>Pensiones Públicas Pregrado Facultad de Ciencias Matemáticas y Naturales</t>
  </si>
  <si>
    <t>3-01-001-02-02-01-0001-13</t>
  </si>
  <si>
    <t>2.1.1.02.02.001.01.01.08</t>
  </si>
  <si>
    <t>Pensiones Públicas Pregrado Facultad de Ciencias de la Salud</t>
  </si>
  <si>
    <t>2.1.1.02.02.001.01.02</t>
  </si>
  <si>
    <t>Aportes a la seguridad social en pensiones públicas posgrado</t>
  </si>
  <si>
    <t>3-01-001-02-02-01-0001-08</t>
  </si>
  <si>
    <t>2.1.1.02.02.001.01.02.01</t>
  </si>
  <si>
    <t>Pensiones Públicas Posgrado Facultad de Ingeniería</t>
  </si>
  <si>
    <t>3-01-001-02-02-01-0001-09</t>
  </si>
  <si>
    <t>2.1.1.02.02.001.01.02.02</t>
  </si>
  <si>
    <t>Pensiones Públicas Posgrado Facultad de Ciencias y Educación</t>
  </si>
  <si>
    <t>3-01-001-02-02-01-0001-10</t>
  </si>
  <si>
    <t>2.1.1.02.02.001.01.02.03</t>
  </si>
  <si>
    <t>Pensiones Públicas Posgrado Facultad de Medio ambiente y recursos naturales</t>
  </si>
  <si>
    <t>3-01-001-02-02-01-0001-11</t>
  </si>
  <si>
    <t>2.1.1.02.02.001.01.02.04</t>
  </si>
  <si>
    <t>Pensiones Públicas Posgrado Facultad Tecnológica</t>
  </si>
  <si>
    <t>3-01-001-02-02-01-0001-12</t>
  </si>
  <si>
    <t>2.1.1.02.02.001.01.02.05</t>
  </si>
  <si>
    <t>Pensiones Públicas Posgrado Facultad Artes ASAB</t>
  </si>
  <si>
    <t>2.1.1.02.02.001.01.02.06</t>
  </si>
  <si>
    <t>Pensiones Públicas Posgrado Facultad de Ciencias Matemáticas y Naturales</t>
  </si>
  <si>
    <t>O211020200102</t>
  </si>
  <si>
    <t>3-01-001-02-02-01-0002</t>
  </si>
  <si>
    <t>2.1.1.02.02.001.02</t>
  </si>
  <si>
    <t>2.1.1.02.02.001.02.01</t>
  </si>
  <si>
    <t>Aportes a la seguridad social en pensiones privadas pregrado</t>
  </si>
  <si>
    <t>3-01-001-02-02-01-0002-01</t>
  </si>
  <si>
    <t>2.1.1.02.02.001.02.01.01</t>
  </si>
  <si>
    <t>Pensiones Privadas Pregrado Facultad de Ingeniería</t>
  </si>
  <si>
    <t>3-01-001-02-02-01-0002-02</t>
  </si>
  <si>
    <t>2.1.1.02.02.001.02.01.02</t>
  </si>
  <si>
    <t>Pensiones Privadas Pregrado Facultad de Ciencias y Educación</t>
  </si>
  <si>
    <t>3-01-001-02-02-01-0002-03</t>
  </si>
  <si>
    <t>2.1.1.02.02.001.02.01.03</t>
  </si>
  <si>
    <t>Pensiones Privadas  Pregrado Facultad de Medio ambiente y recursos naturales</t>
  </si>
  <si>
    <t>3-01-001-02-02-01-0002-04</t>
  </si>
  <si>
    <t>2.1.1.02.02.001.02.01.04</t>
  </si>
  <si>
    <t>Pensiones Privadas Pregrado Facultad Tecnológica</t>
  </si>
  <si>
    <t>3-01-001-02-02-01-0002-05</t>
  </si>
  <si>
    <t>2.1.1.02.02.001.02.01.05</t>
  </si>
  <si>
    <t>Pensiones Privadas Pregrado Facultad Artes ASAB</t>
  </si>
  <si>
    <t>3-01-001-02-02-01-0002-06</t>
  </si>
  <si>
    <t>2.1.1.02.02.001.02.01.06</t>
  </si>
  <si>
    <t>Pensiones Privadas  Pregrado Ilud</t>
  </si>
  <si>
    <t>3-01-001-02-02-01-0002-08</t>
  </si>
  <si>
    <t>2.1.1.02.02.001.02.01.07</t>
  </si>
  <si>
    <t>Pensiones Privadas  Pregrado Facultad de Ciencias Matemáticas y Naturales</t>
  </si>
  <si>
    <t>2.1.1.02.02.001.02.01.08</t>
  </si>
  <si>
    <t>Pensiones Privadas  Pregrado Facultad de Ciencias de la salud</t>
  </si>
  <si>
    <t>2.1.1.02.02.001.02.02</t>
  </si>
  <si>
    <t>Aportes a la seguridad social en pensiones privadas posgrado</t>
  </si>
  <si>
    <t>3-01-001-02-02-01-0002-11</t>
  </si>
  <si>
    <t>2.1.1.02.02.001.02.02.01</t>
  </si>
  <si>
    <t>Pensiones Privadas Posgrado Facultad de Ingeniería</t>
  </si>
  <si>
    <t>3-01-001-02-02-01-0002-12</t>
  </si>
  <si>
    <t>2.1.1.02.02.001.02.02.02</t>
  </si>
  <si>
    <t>Pensiones Privadas Posgrado Facultad de Ciencias y Educación</t>
  </si>
  <si>
    <t>3-01-001-02-02-01-0002-10</t>
  </si>
  <si>
    <t>2.1.1.02.02.001.02.02.03</t>
  </si>
  <si>
    <t>Pensiones Privadas Posgrado Facultad de Medio ambiente y recursos naturales</t>
  </si>
  <si>
    <t>3-01-001-02-02-01-0002-13</t>
  </si>
  <si>
    <t>2.1.1.02.02.001.02.02.04</t>
  </si>
  <si>
    <t>Pensiones Privadas Posgrado Facultad Tecnológica</t>
  </si>
  <si>
    <t>3-01-001-02-02-01-0002-14</t>
  </si>
  <si>
    <t>2.1.1.02.02.001.02.02.05</t>
  </si>
  <si>
    <t>Pensiones Privadas Posgrado Facultad Artes ASAB</t>
  </si>
  <si>
    <t>2.1.1.02.02.001.02.02.06</t>
  </si>
  <si>
    <t>Pensiones Privadas  Posgrado Facultad de Ciencias Matemáticas y Naturales</t>
  </si>
  <si>
    <t>O2110202002</t>
  </si>
  <si>
    <t>3-01-001-02-02-02</t>
  </si>
  <si>
    <t>2.1.1.02.02.002</t>
  </si>
  <si>
    <t>O211020200202</t>
  </si>
  <si>
    <t>3-01-001-02-02-02-0002</t>
  </si>
  <si>
    <t>2.1.1.02.02.002.02</t>
  </si>
  <si>
    <t>2.1.1.02.02.002.02.01</t>
  </si>
  <si>
    <t>Aportes a la seguridad social en salud privada pregrado</t>
  </si>
  <si>
    <t>3-01-001-02-02-02-0002-01</t>
  </si>
  <si>
    <t>2.1.1.02.02.002.02.01.01</t>
  </si>
  <si>
    <t>Salud Privada Pregrado Facultad de Ingeniería</t>
  </si>
  <si>
    <t>3-01-001-02-02-02-0002-02</t>
  </si>
  <si>
    <t>2.1.1.02.02.002.02.01.02</t>
  </si>
  <si>
    <t>Salud Privada Pregrado Facultad de Ciencias y Educación</t>
  </si>
  <si>
    <t>3-01-001-02-02-02-0002-03</t>
  </si>
  <si>
    <t>2.1.1.02.02.002.02.01.03</t>
  </si>
  <si>
    <t>Salud Privada Pregrado Facultad de Medio ambiente y recursos naturales</t>
  </si>
  <si>
    <t>3-01-001-02-02-02-0002-04</t>
  </si>
  <si>
    <t>2.1.1.02.02.002.02.01.04</t>
  </si>
  <si>
    <t>Salud Privada Pregrado Facultad Tecnológica</t>
  </si>
  <si>
    <t>3-01-001-02-02-02-0002-05</t>
  </si>
  <si>
    <t>2.1.1.02.02.002.02.01.05</t>
  </si>
  <si>
    <t>Salud Privada Pregrado Facultad Artes ASAB</t>
  </si>
  <si>
    <t>3-01-001-02-02-02-0002-06</t>
  </si>
  <si>
    <t>2.1.1.02.02.002.02.01.06</t>
  </si>
  <si>
    <t>Salud Privada Pregrado Ilud</t>
  </si>
  <si>
    <t>3-01-001-02-02-02-0002-07</t>
  </si>
  <si>
    <t>2.1.1.02.02.002.02.01.07</t>
  </si>
  <si>
    <t>Salud Privada Pregrado Facultad de Ciencias Matemáticas y Naturales</t>
  </si>
  <si>
    <t>3-01-001-02-02-02-0002-13</t>
  </si>
  <si>
    <t>2.1.1.02.02.002.02.01.08</t>
  </si>
  <si>
    <t>Salud Privada Pregrado Facultad de Ciencias de la Salud</t>
  </si>
  <si>
    <t>2.1.1.02.02.002.02.02</t>
  </si>
  <si>
    <t>Aportes a la seguridad social en salud privada posgrado</t>
  </si>
  <si>
    <t>3-01-001-02-02-02-0002-08</t>
  </si>
  <si>
    <t>2.1.1.02.02.002.02.02.01</t>
  </si>
  <si>
    <t>Salud Privada Posgrado Facultad de Ingeniería</t>
  </si>
  <si>
    <t>3-01-001-02-02-02-0002-09</t>
  </si>
  <si>
    <t>2.1.1.02.02.002.02.02.02</t>
  </si>
  <si>
    <t>Salud Privada Posgrado Facultad de Ciencias y Educación</t>
  </si>
  <si>
    <t>3-01-001-02-02-02-0002-10</t>
  </si>
  <si>
    <t>2.1.1.02.02.002.02.02.03</t>
  </si>
  <si>
    <t>Salud Privada Posgrado Facultad de Medio ambiente y recursos naturales</t>
  </si>
  <si>
    <t>3-01-001-02-02-02-0002-11</t>
  </si>
  <si>
    <t>2.1.1.02.02.002.02.02.04</t>
  </si>
  <si>
    <t>Salud Privada Posgrado Facultad Tecnológica</t>
  </si>
  <si>
    <t>3-01-001-02-02-02-0002-12</t>
  </si>
  <si>
    <t>2.1.1.02.02.002.02.02.05</t>
  </si>
  <si>
    <t>Salud Privada Posgrado Facultad Artes ASAB</t>
  </si>
  <si>
    <t>2.1.1.02.02.002.02.02.06</t>
  </si>
  <si>
    <t>Salud Privada Posgrado Facultad de Ciencias Matemáticas y Naturales</t>
  </si>
  <si>
    <t>O2110202003</t>
  </si>
  <si>
    <t>3-01-001-02-02-03</t>
  </si>
  <si>
    <t>2.1.1.02.02.003</t>
  </si>
  <si>
    <t>O211020200301</t>
  </si>
  <si>
    <t>3-01-001-02-02-03-0001</t>
  </si>
  <si>
    <t>2.1.1.02.02.003.01</t>
  </si>
  <si>
    <t>2.1.1.02.02.003.01.01</t>
  </si>
  <si>
    <t>Aportes de cesantías a fondos públicos pregrado</t>
  </si>
  <si>
    <t>3-01-001-02-02-03-0001-01</t>
  </si>
  <si>
    <t>2.1.1.02.02.003.01.01.01</t>
  </si>
  <si>
    <t>Cesantías Fondos Públicos Pregrado Facultad de Ingeniería</t>
  </si>
  <si>
    <t>3-01-001-02-02-03-0001-02</t>
  </si>
  <si>
    <t>2.1.1.02.02.003.01.01.02</t>
  </si>
  <si>
    <t>Cesantías Fondos Públicos Pregrado Facultad de Ciencias y Educación</t>
  </si>
  <si>
    <t>2.1.1.02.02.003.01.01.03</t>
  </si>
  <si>
    <t>Cesantías Fondos Públicos Pregrado Facultad de Medio ambiente y recursos naturales</t>
  </si>
  <si>
    <t>3-01-001-02-02-03-0001-04</t>
  </si>
  <si>
    <t>2.1.1.02.02.003.01.01.04</t>
  </si>
  <si>
    <t>Cesantías Fondos Públicos Pregrado Facultad Tecnológica</t>
  </si>
  <si>
    <t>3-01-001-02-02-03-0001-05</t>
  </si>
  <si>
    <t>2.1.1.02.02.003.01.01.05</t>
  </si>
  <si>
    <t>Cesantías Fondos Públicos Pregrado Facultad Artes ASAB</t>
  </si>
  <si>
    <t>3-01-001-02-02-03-0001-06</t>
  </si>
  <si>
    <t>2.1.1.02.02.003.01.01.06</t>
  </si>
  <si>
    <t>Cesantías Fondos Públicos Pregrado Ilud</t>
  </si>
  <si>
    <t>3-01-001-02-02-03-0001-07</t>
  </si>
  <si>
    <t>2.1.1.02.02.003.01.01.07</t>
  </si>
  <si>
    <t>Cesantías Fondos Públicos  Pregrado Facultad de Ciencias Matemáticas y Naturales</t>
  </si>
  <si>
    <t>3-01-001-02-02-03-0001-14</t>
  </si>
  <si>
    <t>2.1.1.02.02.003.01.01.08</t>
  </si>
  <si>
    <t>Cesantías Fondos Públicos  Pregrado Facultad de Ciencias de la Salud</t>
  </si>
  <si>
    <t>2.1.1.02.02.003.01.02</t>
  </si>
  <si>
    <t>Aportes de cesantías a fondos públicos posgrado</t>
  </si>
  <si>
    <t>3-01-001-02-02-03-0001-08</t>
  </si>
  <si>
    <t>2.1.1.02.02.003.01.02.01</t>
  </si>
  <si>
    <t>Cesantías Fondos Públicos Posgrado Facultad de Ingeniería</t>
  </si>
  <si>
    <t>3-01-001-02-02-03-0001-09</t>
  </si>
  <si>
    <t>2.1.1.02.02.003.01.02.02</t>
  </si>
  <si>
    <t>Cesantías Fondos Públicos Posgrado Facultad de Ciencias y Educación</t>
  </si>
  <si>
    <t>2.1.1.02.02.003.01.02.03</t>
  </si>
  <si>
    <t>Cesantías Fondos Públicos Posgrado Facultad de Medio ambiente y recursos naturales</t>
  </si>
  <si>
    <t>3-01-001-02-02-03-0001-11</t>
  </si>
  <si>
    <t>2.1.1.02.02.003.01.02.04</t>
  </si>
  <si>
    <t>Cesantías Fondos Públicos Posgrado Facultad Tecnológica</t>
  </si>
  <si>
    <t>3-01-001-02-02-03-0001-12</t>
  </si>
  <si>
    <t>2.1.1.02.02.003.01.02.05</t>
  </si>
  <si>
    <t>Cesantías Fondos Públicos Posgrado Facultad Artes ASAB</t>
  </si>
  <si>
    <t>2.1.1.02.02.003.01.02.06</t>
  </si>
  <si>
    <t>Cesantías Fondos Públicos  Posgrado Facultad de Ciencias Matemáticas y Naturales</t>
  </si>
  <si>
    <t>O211020200302</t>
  </si>
  <si>
    <t>3-01-001-02-02-03-0002</t>
  </si>
  <si>
    <t>2.1.1.02.02.003.02</t>
  </si>
  <si>
    <t>2.1.1.02.02.003.02.01</t>
  </si>
  <si>
    <t>Aportes de cesantías a fondos privados pregrado</t>
  </si>
  <si>
    <t>2.1.1.02.02.003.02.01.01</t>
  </si>
  <si>
    <t>Cesantías Fondos Privados Pregrado Facultad de Ingeniería</t>
  </si>
  <si>
    <t>2.1.1.02.02.003.02.01.02</t>
  </si>
  <si>
    <t>Cesantías Fondos Privados Pregrado Facultad de Ciencias y Educación</t>
  </si>
  <si>
    <t>3-01-001-02-02-03-0002-03</t>
  </si>
  <si>
    <t>2.1.1.02.02.003.02.01.03</t>
  </si>
  <si>
    <t>Cesantías Fondos Privados Pregrado Facultad de Medio ambiente y recursos naturales</t>
  </si>
  <si>
    <t>2.1.1.02.02.003.02.01.04</t>
  </si>
  <si>
    <t>Cesantías Fondos Privados Pregrado Facultad Tecnológica</t>
  </si>
  <si>
    <t>2.1.1.02.02.003.02.01.05</t>
  </si>
  <si>
    <t>Cesantías Fondos Privados Pregrado Facultad Artes ASAB</t>
  </si>
  <si>
    <t>2.1.1.02.02.003.02.01.06</t>
  </si>
  <si>
    <t>Cesantías Fondos Privados Pregrado Ilud</t>
  </si>
  <si>
    <t>2.1.1.02.02.003.02.01.07</t>
  </si>
  <si>
    <t>Cesantías Fondos Privados Pregrado Facultad de Ciencias Matemáticas y Naturales</t>
  </si>
  <si>
    <t>2.1.1.02.02.003.02.01.08</t>
  </si>
  <si>
    <t>Cesantías Fondos Privados Pregrado Facultad de Ciencias de la Salud</t>
  </si>
  <si>
    <t>2.1.1.02.02.003.02.02</t>
  </si>
  <si>
    <t>Aportes de cesantías a fondos privados posgrado</t>
  </si>
  <si>
    <t>2.1.1.02.02.003.02.02.01</t>
  </si>
  <si>
    <t>Cesantías Fondos Privados Posgrados Facultad de Ingeniería</t>
  </si>
  <si>
    <t>2.1.1.02.02.003.02.02.02</t>
  </si>
  <si>
    <t>Cesantías Fondos Privados Posgrados Facultad de Ciencias y Educación</t>
  </si>
  <si>
    <t>3-01-001-02-02-03-0002-10</t>
  </si>
  <si>
    <t>2.1.1.02.02.003.02.02.03</t>
  </si>
  <si>
    <t>Cesantías Fondos Privados Posgrados Facultad de Medio ambiente y recursos naturales</t>
  </si>
  <si>
    <t>2.1.1.02.02.003.02.02.04</t>
  </si>
  <si>
    <t>Cesantías Fondos Privados Posgrados Facultad Tecnológica</t>
  </si>
  <si>
    <t>2.1.1.02.02.003.02.02.05</t>
  </si>
  <si>
    <t>Cesantías Fondos Privados Posgrados Facultad Artes ASAB</t>
  </si>
  <si>
    <t>2.1.1.02.02.003.02.02.06</t>
  </si>
  <si>
    <t>Cesantías Fondos Privados Posgrados Facultad de Ciencias Matemáticas y Naturales</t>
  </si>
  <si>
    <t>O2110202004</t>
  </si>
  <si>
    <t>3-01-001-02-02-04</t>
  </si>
  <si>
    <t>2.1.1.02.02.004</t>
  </si>
  <si>
    <t>O211020200401</t>
  </si>
  <si>
    <t>3-01-001-02-02-04-0001</t>
  </si>
  <si>
    <t>2.1.1.02.02.004.01</t>
  </si>
  <si>
    <t>2.1.1.02.02.004.01.01</t>
  </si>
  <si>
    <t>Compensar pregrado</t>
  </si>
  <si>
    <t>3-01-001-02-02-04-0001-01</t>
  </si>
  <si>
    <t>2.1.1.02.02.004.01.01.01</t>
  </si>
  <si>
    <t>Caja de Compensación Pregrado Facultad de Ingeniería</t>
  </si>
  <si>
    <t>3-01-001-02-02-04-0001-02</t>
  </si>
  <si>
    <t>2.1.1.02.02.004.01.01.02</t>
  </si>
  <si>
    <t>Caja de Compensación Pregrado Facultad de Ciencias y Educación</t>
  </si>
  <si>
    <t>3-01-001-02-02-04-0001-03</t>
  </si>
  <si>
    <t>2.1.1.02.02.004.01.01.03</t>
  </si>
  <si>
    <t>Caja de Compensación Pregrado Facultad de Medio ambiente y recursos naturales</t>
  </si>
  <si>
    <t>3-01-001-02-02-04-0001-04</t>
  </si>
  <si>
    <t>2.1.1.02.02.004.01.01.04</t>
  </si>
  <si>
    <t>Caja de Compensación Pregrado Facultad Tecnológica</t>
  </si>
  <si>
    <t>3-01-001-02-02-04-0001-05</t>
  </si>
  <si>
    <t>2.1.1.02.02.004.01.01.05</t>
  </si>
  <si>
    <t>Caja de Compensación Pregrado Facultad Artes ASAB</t>
  </si>
  <si>
    <t>3-01-001-02-02-04-0001-06</t>
  </si>
  <si>
    <t>2.1.1.02.02.004.01.01.06</t>
  </si>
  <si>
    <t>Caja de Compensación Pregrado Ilud</t>
  </si>
  <si>
    <t>3-01-001-02-02-04-0001-07</t>
  </si>
  <si>
    <t>2.1.1.02.02.004.01.01.07</t>
  </si>
  <si>
    <t>Caja de Compensación Pregrado Facultad de Ciencias Matemáticas y Naturales</t>
  </si>
  <si>
    <t>3-01-001-02-02-04-0001-14</t>
  </si>
  <si>
    <t>2.1.1.02.02.004.01.01.08</t>
  </si>
  <si>
    <t>Caja de Compensación Pregrado Facultad de Ciencias de la Salud</t>
  </si>
  <si>
    <t>2.1.1.02.02.004.01.02</t>
  </si>
  <si>
    <t>Compensar posgrado</t>
  </si>
  <si>
    <t>3-01-001-02-02-04-0001-08</t>
  </si>
  <si>
    <t>2.1.1.02.02.004.01.02.01</t>
  </si>
  <si>
    <t>Caja de Compensación Posgrado Facultad de Ingeniería</t>
  </si>
  <si>
    <t>3-01-001-02-02-04-0001-09</t>
  </si>
  <si>
    <t>2.1.1.02.02.004.01.02.02</t>
  </si>
  <si>
    <t>Caja de Compensación Posgrado Facultad de Ciencias y Educación</t>
  </si>
  <si>
    <t>3-01-001-02-02-04-0001-10</t>
  </si>
  <si>
    <t>2.1.1.02.02.004.01.02.03</t>
  </si>
  <si>
    <t>Caja de Compensación Posgrado Facultad de Medio ambiente y recursos naturales</t>
  </si>
  <si>
    <t>3-01-001-02-02-04-0001-11</t>
  </si>
  <si>
    <t>2.1.1.02.02.004.01.02.04</t>
  </si>
  <si>
    <t>Caja de Compensación Posgrado Facultad Tecnológica</t>
  </si>
  <si>
    <t>3-01-001-02-02-04-0001-12</t>
  </si>
  <si>
    <t>2.1.1.02.02.004.01.02.05</t>
  </si>
  <si>
    <t>Caja de Compensación Posgrado Facultad Artes ASAB</t>
  </si>
  <si>
    <t>2.1.1.02.02.004.01.02.06</t>
  </si>
  <si>
    <t>Caja de Compensación Posgrado Facultad de Ciencias Matemáticas y Naturales</t>
  </si>
  <si>
    <t>O2110202005</t>
  </si>
  <si>
    <t>3-01-001-02-02-05</t>
  </si>
  <si>
    <t>2.1.1.02.02.005</t>
  </si>
  <si>
    <t>O211020200501</t>
  </si>
  <si>
    <t>3-01-001-02-02-05-0001</t>
  </si>
  <si>
    <t>2.1.1.02.02.005.01</t>
  </si>
  <si>
    <t>2.1.1.02.02.005.01.01</t>
  </si>
  <si>
    <t>Aportes generales al sistema de riesgos laborales públicos pregrado</t>
  </si>
  <si>
    <t>3-01-001-02-02-05-0001-01</t>
  </si>
  <si>
    <t>2.1.1.02.02.005.01.01.01</t>
  </si>
  <si>
    <t>ARL Pregrado Facultad de Ingeniería</t>
  </si>
  <si>
    <t>3-01-001-02-02-05-0001-02</t>
  </si>
  <si>
    <t>2.1.1.02.02.005.01.01.02</t>
  </si>
  <si>
    <t>ARL Pregrado Facultad de Ciencias y Educación</t>
  </si>
  <si>
    <t>3-01-001-02-02-05-0001-03</t>
  </si>
  <si>
    <t>2.1.1.02.02.005.01.01.03</t>
  </si>
  <si>
    <t>ARL Pregrado Facultad de Medio Ambiente y Recursos Naturales</t>
  </si>
  <si>
    <t>3-01-001-02-02-05-0001-04</t>
  </si>
  <si>
    <t>2.1.1.02.02.005.01.01.04</t>
  </si>
  <si>
    <t>ARL Pregrado Facultad Tecnológica</t>
  </si>
  <si>
    <t>3-01-001-02-02-05-0001-05</t>
  </si>
  <si>
    <t>2.1.1.02.02.005.01.01.05</t>
  </si>
  <si>
    <t>ARL Pregrado Facultad Artes ASAB</t>
  </si>
  <si>
    <t>3-01-001-02-02-05-0001-06</t>
  </si>
  <si>
    <t>2.1.1.02.02.005.01.01.06</t>
  </si>
  <si>
    <t>ARL Pregrado Ilud</t>
  </si>
  <si>
    <t>3-01-001-02-02-05-0001-07</t>
  </si>
  <si>
    <t>2.1.1.02.02.005.01.01.07</t>
  </si>
  <si>
    <t>ARL Pregrado Facultad de Ciencias Matemáticas y Naturales</t>
  </si>
  <si>
    <t>3-01-001-02-02-05-0001-14</t>
  </si>
  <si>
    <t>2.1.1.02.02.005.01.01.08</t>
  </si>
  <si>
    <t>ARL Pregrado Facultad de Ciencias de la Salud</t>
  </si>
  <si>
    <t>2.1.1.02.02.005.01.02</t>
  </si>
  <si>
    <t>Aportes generales al sistema de riesgos laborales públicos posgrado</t>
  </si>
  <si>
    <t>3-01-001-02-02-05-0001-08</t>
  </si>
  <si>
    <t>2.1.1.02.02.005.01.02.01</t>
  </si>
  <si>
    <t>ARL Posgrado Facultad de Ingeniería</t>
  </si>
  <si>
    <t>3-01-001-02-02-05-0001-09</t>
  </si>
  <si>
    <t>2.1.1.02.02.005.01.02.02</t>
  </si>
  <si>
    <t>ARL Posgrado Facultad de Ciencias y Educación</t>
  </si>
  <si>
    <t>3-01-001-02-02-05-0001-10</t>
  </si>
  <si>
    <t>2.1.1.02.02.005.01.02.03</t>
  </si>
  <si>
    <t>ARL Posgrado Facultad de Medio Ambiente y Recursos Naturales</t>
  </si>
  <si>
    <t>3-01-001-02-02-05-0001-11</t>
  </si>
  <si>
    <t>2.1.1.02.02.005.01.02.04</t>
  </si>
  <si>
    <t>ARL Posgrado Facultad Tecnológica</t>
  </si>
  <si>
    <t>3-01-001-02-02-05-0001-12</t>
  </si>
  <si>
    <t>2.1.1.02.02.005.01.02.05</t>
  </si>
  <si>
    <t>ARL Posgrado Facultad Artes ASAB</t>
  </si>
  <si>
    <t>2.1.1.02.02.005.01.02.06</t>
  </si>
  <si>
    <t>ARL Posgrado Facultad de Ciencias Matemáticas y Naturales</t>
  </si>
  <si>
    <t>O2110202006</t>
  </si>
  <si>
    <t>3-01-001-02-02-06</t>
  </si>
  <si>
    <t>2.1.1.02.02.006</t>
  </si>
  <si>
    <t>2.1.1.02.02.006.01</t>
  </si>
  <si>
    <t>Aportes al ICBF pregrado</t>
  </si>
  <si>
    <t>3-01-001-02-02-06-0001-00</t>
  </si>
  <si>
    <t>2.1.1.02.02.006.01.01</t>
  </si>
  <si>
    <t>ICBF Pregrado Facultad Ingeniería</t>
  </si>
  <si>
    <t>3-01-001-02-02-06-0002-00</t>
  </si>
  <si>
    <t>2.1.1.02.02.006.01.02</t>
  </si>
  <si>
    <t>ICBF Pregrado Facultad Ciencias y Educación</t>
  </si>
  <si>
    <t>3-01-001-02-02-06-0003-00</t>
  </si>
  <si>
    <t>2.1.1.02.02.006.01.03</t>
  </si>
  <si>
    <t>ICBF Pregrado Facultad Medio Ambiente y Recursos Naturales</t>
  </si>
  <si>
    <t>3-01-001-02-02-06-0004-00</t>
  </si>
  <si>
    <t>2.1.1.02.02.006.01.04</t>
  </si>
  <si>
    <t>ICBF Pregrado Facultad Tecnológica</t>
  </si>
  <si>
    <t>3-01-001-02-02-06-0005-00</t>
  </si>
  <si>
    <t>2.1.1.02.02.006.01.05</t>
  </si>
  <si>
    <t>ICBF Pregrado Facultad Artes ASAB</t>
  </si>
  <si>
    <t>3-01-001-02-02-06-0006-00</t>
  </si>
  <si>
    <t>2.1.1.02.02.006.01.06</t>
  </si>
  <si>
    <t>ICBF Pregrado Ilud</t>
  </si>
  <si>
    <t>3-01-001-02-02-06-0007-00</t>
  </si>
  <si>
    <t>2.1.1.02.02.006.01.07</t>
  </si>
  <si>
    <t>ICBF Pregrado Facultad de Ciencias Matemáticas y Naturales</t>
  </si>
  <si>
    <t>3-01-001-02-02-06-0013-00</t>
  </si>
  <si>
    <t>2.1.1.02.02.006.01.08</t>
  </si>
  <si>
    <t>ICBF Pregrado Facultad de Ciencias de la Salud</t>
  </si>
  <si>
    <t>2.1.1.02.02.006.02</t>
  </si>
  <si>
    <t>Aportes al ICBF posgrado</t>
  </si>
  <si>
    <t>3-01-001-02-02-06-0008-00</t>
  </si>
  <si>
    <t>2.1.1.02.02.006.02.01</t>
  </si>
  <si>
    <t>ICBF Posgrado Facultad Ingeniería</t>
  </si>
  <si>
    <t>3-01-001-02-02-06-0009-00</t>
  </si>
  <si>
    <t>2.1.1.02.02.006.02.02</t>
  </si>
  <si>
    <t>ICBF Posgrado Facultad Ciencias y Educación</t>
  </si>
  <si>
    <t>3-01-001-02-02-06-0010-00</t>
  </si>
  <si>
    <t>2.1.1.02.02.006.02.03</t>
  </si>
  <si>
    <t>ICBF Posgrado Facultad Medio Ambiente y Recursos Naturales</t>
  </si>
  <si>
    <t>3-01-001-02-02-06-0011-00</t>
  </si>
  <si>
    <t>2.1.1.02.02.006.02.04</t>
  </si>
  <si>
    <t>ICBF Posgrado Facultad Tecnológica</t>
  </si>
  <si>
    <t>3-01-001-02-02-06-0012-00</t>
  </si>
  <si>
    <t>2.1.1.02.02.006.02.05</t>
  </si>
  <si>
    <t>ICBF Posgrado Facultad Artes ASAB</t>
  </si>
  <si>
    <t>2.1.1.02.02.006.02.06</t>
  </si>
  <si>
    <t>ICBF Posgrado Facultad de Ciencias Matemáticas y Naturales</t>
  </si>
  <si>
    <t>O212</t>
  </si>
  <si>
    <t>3-01-002</t>
  </si>
  <si>
    <t>2.1.2</t>
  </si>
  <si>
    <t>Adquisición de bienes y servicios</t>
  </si>
  <si>
    <t>O21201</t>
  </si>
  <si>
    <t>3-01-002-01</t>
  </si>
  <si>
    <t>2.1.2.01</t>
  </si>
  <si>
    <t>Adquisición de activos no financieros</t>
  </si>
  <si>
    <t>O2120101</t>
  </si>
  <si>
    <t>3-01-002-01-01</t>
  </si>
  <si>
    <t>2.1.2.01.01</t>
  </si>
  <si>
    <t>Activos fijos</t>
  </si>
  <si>
    <t>O2120101003</t>
  </si>
  <si>
    <t xml:space="preserve"> </t>
  </si>
  <si>
    <t>2.1.2.01.01.003</t>
  </si>
  <si>
    <t>Maquinaria y equipo</t>
  </si>
  <si>
    <t>O212010100303</t>
  </si>
  <si>
    <t>3-01-002-02-01-04-0005</t>
  </si>
  <si>
    <t>2.1.2.01.01.003.03</t>
  </si>
  <si>
    <t>Maquinaria de oficina, contabilidad e informática</t>
  </si>
  <si>
    <t>O21201010030302</t>
  </si>
  <si>
    <t>2.1.2.01.01.003.03.02</t>
  </si>
  <si>
    <t>Maquinaria de informática y sus partes, piezas y accesorios</t>
  </si>
  <si>
    <t>A140402</t>
  </si>
  <si>
    <t>Almacén General e Inventarios</t>
  </si>
  <si>
    <t>A130101</t>
  </si>
  <si>
    <t xml:space="preserve">Vicerrectoría Académica               </t>
  </si>
  <si>
    <t>A120401</t>
  </si>
  <si>
    <t>Secretaria General</t>
  </si>
  <si>
    <t>O2120101004</t>
  </si>
  <si>
    <t>3-01-002-01-01-04</t>
  </si>
  <si>
    <t>2.1.2.01.01.004</t>
  </si>
  <si>
    <t>Activos fijos no clasificados como maquinaria y equipo</t>
  </si>
  <si>
    <t>O212010100401</t>
  </si>
  <si>
    <t>3-01-002-01-01-04-0001</t>
  </si>
  <si>
    <t>2.1.2.01.01.004.01</t>
  </si>
  <si>
    <t>Muebles, instrumentos musicales, artículos de deporte y antigüedades</t>
  </si>
  <si>
    <t>O21201010040101</t>
  </si>
  <si>
    <t>2.1.2.01.01.004.01.01</t>
  </si>
  <si>
    <t>Muebles</t>
  </si>
  <si>
    <t>O2120101004010102</t>
  </si>
  <si>
    <t>2.1.2.01.01.004.01.01.02</t>
  </si>
  <si>
    <t>Muebles del tipo utilizado en la oficina</t>
  </si>
  <si>
    <t>3-01-002-01-01-04-0001-01</t>
  </si>
  <si>
    <t>2.1.2.01.01.004.01.01.02.02</t>
  </si>
  <si>
    <t>Instrumentos musicales</t>
  </si>
  <si>
    <t>A130301</t>
  </si>
  <si>
    <t>Oficina de Bienestar Universitario</t>
  </si>
  <si>
    <t>3-01-002-01-01-04-0001-02</t>
  </si>
  <si>
    <t>2.1.2.01.01.004.01.01.02.03</t>
  </si>
  <si>
    <t>Artículos de deporte</t>
  </si>
  <si>
    <t>O2120101005</t>
  </si>
  <si>
    <t>3-01-002-01-01-05</t>
  </si>
  <si>
    <t>2.1.2.01.01.005</t>
  </si>
  <si>
    <t>Otros activos fijos</t>
  </si>
  <si>
    <t>O212010100502</t>
  </si>
  <si>
    <t>3-01-002-01-01-05-0002</t>
  </si>
  <si>
    <t>2.1.2.01.01.005.02</t>
  </si>
  <si>
    <t>Productos de la propiedad intelectual</t>
  </si>
  <si>
    <t>O21201010050203</t>
  </si>
  <si>
    <t>2.1.2.01.01.005.02.03</t>
  </si>
  <si>
    <t>Programas de informática y bases de datos</t>
  </si>
  <si>
    <t>O2120101005020301</t>
  </si>
  <si>
    <t>2.1.2.01.01.005.02.03.01</t>
  </si>
  <si>
    <t>Programas de informática</t>
  </si>
  <si>
    <t>3-01-002-01-01-05-0002-03</t>
  </si>
  <si>
    <t>2.1.2.01.01.005.02.03.01.01</t>
  </si>
  <si>
    <t>Paquetes de software</t>
  </si>
  <si>
    <t>A1307</t>
  </si>
  <si>
    <t>Programa Red de Datos UDNET</t>
  </si>
  <si>
    <t>A1309</t>
  </si>
  <si>
    <t>Proyecto de Publicaciones</t>
  </si>
  <si>
    <t>A140303</t>
  </si>
  <si>
    <t>Proyecto de Contabilidad</t>
  </si>
  <si>
    <t>A1206</t>
  </si>
  <si>
    <t>Oficina Asesora de Tecnologías e Información</t>
  </si>
  <si>
    <t>O21202</t>
  </si>
  <si>
    <t>3-01-002-02</t>
  </si>
  <si>
    <t>2.1.2.02</t>
  </si>
  <si>
    <t>Adquisiciones diferentes de activos</t>
  </si>
  <si>
    <t>O2120201</t>
  </si>
  <si>
    <t>3-01-002-02-01</t>
  </si>
  <si>
    <t>2.1.2.02.01</t>
  </si>
  <si>
    <t>Materiales y suministros</t>
  </si>
  <si>
    <t>O2120201002</t>
  </si>
  <si>
    <t>3-01-002-02-01-02</t>
  </si>
  <si>
    <t>2.1.2.02.01.002</t>
  </si>
  <si>
    <t>Productos alimenticios, bebidas y tabaco; textiles, prendas de vestir y productos de cuero</t>
  </si>
  <si>
    <t>O212020100208</t>
  </si>
  <si>
    <t>3-01-002-02-01-02-0008</t>
  </si>
  <si>
    <t>2.1.2.02.01.002.08</t>
  </si>
  <si>
    <t>Tejido de punto o ganchillo; prendas de vestir</t>
  </si>
  <si>
    <t>O2120201002082823609</t>
  </si>
  <si>
    <t>3-01-002-02-01-02-0008-00</t>
  </si>
  <si>
    <t>2.1.2.02.01.002.08.2823609</t>
  </si>
  <si>
    <t>Uniformes de Trabajo</t>
  </si>
  <si>
    <t>O2120201003</t>
  </si>
  <si>
    <t>3-01-002-02-01-03</t>
  </si>
  <si>
    <t>2.1.2.02.01.003</t>
  </si>
  <si>
    <t>Otros bienes transportables (excepto productos metálicos, maquinaria y equipo)</t>
  </si>
  <si>
    <t>O212020100302</t>
  </si>
  <si>
    <t>3-01-002-02-01-03-0002</t>
  </si>
  <si>
    <t>2.1.2.02.01.003.02</t>
  </si>
  <si>
    <t>Pasta o pulpa, papel y productos de papel; impresos y artículos similares</t>
  </si>
  <si>
    <t>O2120201003023211599</t>
  </si>
  <si>
    <t>3-01-002-02-01-03-0002-01</t>
  </si>
  <si>
    <t>2.1.2.02.01.003.02.3211599</t>
  </si>
  <si>
    <t>Pastas o pulpas de otras fibras n.c.p. para papel</t>
  </si>
  <si>
    <t>A1302030106</t>
  </si>
  <si>
    <t>Herbario Forestal</t>
  </si>
  <si>
    <t>A1310</t>
  </si>
  <si>
    <t>Proyecto de Biblioteca</t>
  </si>
  <si>
    <t>A120404</t>
  </si>
  <si>
    <t>Proyecto de Actas, Archivo y Microfilmación</t>
  </si>
  <si>
    <t>O2120201003023280005</t>
  </si>
  <si>
    <t>2.1.2.02.01.003.02.3280005</t>
  </si>
  <si>
    <t>Planchas de impresión fotograbadas y láminas zincograbadas y demás productos del fotograbado y zincograbado</t>
  </si>
  <si>
    <t>O212020100303</t>
  </si>
  <si>
    <t>3-01-002-02-01-03-0003</t>
  </si>
  <si>
    <t>2.1.2.02.01.003.03</t>
  </si>
  <si>
    <t>Productos de hornos de coque; productos de refinación de petróleo y combustible nuclear</t>
  </si>
  <si>
    <t>O2120201003033331101</t>
  </si>
  <si>
    <t>3-01-002-02-01-03-0003-31</t>
  </si>
  <si>
    <t>2.1.2.02.01.003.03.3331101</t>
  </si>
  <si>
    <t>Gasolina motor corriente</t>
  </si>
  <si>
    <t>A140401</t>
  </si>
  <si>
    <t>Oficina de Infraestructura</t>
  </si>
  <si>
    <t>O2120201003033336103</t>
  </si>
  <si>
    <t>3-01-002-02-01-03-0003-36</t>
  </si>
  <si>
    <t>2.1.2.02.01.003.03.3336103</t>
  </si>
  <si>
    <t>Diésel oil ACPM (fuel gas gasoil marine gas)</t>
  </si>
  <si>
    <t>O212020100305</t>
  </si>
  <si>
    <t>3-01-002-02-01-03-0005</t>
  </si>
  <si>
    <t>2.1.2.02.01.003.05</t>
  </si>
  <si>
    <t>Otros productos químicos; fibras artificiales (o fibras industriales hechas por el hombre)</t>
  </si>
  <si>
    <t>O2120201003053526199</t>
  </si>
  <si>
    <t>3-01-002-02-01-03-0005-02</t>
  </si>
  <si>
    <t>2.1.2.02.01.003.05.3526199</t>
  </si>
  <si>
    <t>Otros medicamentos n.c.p. para uso humano terapéutico o profiláctico</t>
  </si>
  <si>
    <t>O212020100306</t>
  </si>
  <si>
    <t>3-01-002-02-01-03-0006</t>
  </si>
  <si>
    <t>2.1.2.02.01.003.06</t>
  </si>
  <si>
    <t>Productos de caucho y plástico</t>
  </si>
  <si>
    <t>O2120201003063691002</t>
  </si>
  <si>
    <t>2.1.2.02.01.003.06.3691002</t>
  </si>
  <si>
    <t>Recubrimientos de material plástico para pisos</t>
  </si>
  <si>
    <t>O2120201003063699046</t>
  </si>
  <si>
    <t>2.1.2.02.01.003.06.3699046</t>
  </si>
  <si>
    <t>Señales en material plástico</t>
  </si>
  <si>
    <t>O2120201003063699060</t>
  </si>
  <si>
    <t>3-01-002-02-01-03-0006-09</t>
  </si>
  <si>
    <t>2.1.2.02.01.003.06.3699060</t>
  </si>
  <si>
    <t>Cartuchos plásticos para impresora de computador</t>
  </si>
  <si>
    <t>O212020100308</t>
  </si>
  <si>
    <t>2.1.2.02.01.003.08</t>
  </si>
  <si>
    <t>Muebles, otros bienes transportables N.C.P.</t>
  </si>
  <si>
    <t>O2120201003083899997</t>
  </si>
  <si>
    <t>2.1.2.02.01.003.08.3899997</t>
  </si>
  <si>
    <t>Artículos n.c.p. para protección</t>
  </si>
  <si>
    <t>Facultad Ciencias de la Salud</t>
  </si>
  <si>
    <t>O2120201004</t>
  </si>
  <si>
    <t>3-01-002-02-01-04</t>
  </si>
  <si>
    <t>2.1.2.02.01.004</t>
  </si>
  <si>
    <t>Productos metálicos y paquetes de software</t>
  </si>
  <si>
    <t>O212020100402</t>
  </si>
  <si>
    <t>3-01-002-02-01-04-0002</t>
  </si>
  <si>
    <t>2.1.2.02.01.004.02</t>
  </si>
  <si>
    <t>Productos metálicos elaborados (excepto maquinaria y equipo)</t>
  </si>
  <si>
    <t>O2120201004024292199</t>
  </si>
  <si>
    <t>2.1.2.02.01.004.02.4292199</t>
  </si>
  <si>
    <t>Herramientas de mano</t>
  </si>
  <si>
    <t>O2120201004024299989</t>
  </si>
  <si>
    <t>3-01-002-02-01-04-0002-10</t>
  </si>
  <si>
    <t>2.1.2.02.01.004.02.4299989</t>
  </si>
  <si>
    <t>Articulos n.c.p. de metal moldeado</t>
  </si>
  <si>
    <t>O2120201004024299991</t>
  </si>
  <si>
    <t>3-01-002-02-01-04-0002-09</t>
  </si>
  <si>
    <t>2.1.2.02.01.004.02.4299991</t>
  </si>
  <si>
    <t>Artículos n.c.p. de ferretería y cerrajería</t>
  </si>
  <si>
    <t>O212020100404</t>
  </si>
  <si>
    <t>3-01-002-02-01-04-0004</t>
  </si>
  <si>
    <t>2.1.2.02.01.004.04</t>
  </si>
  <si>
    <t>Maquinaria para usos especiales</t>
  </si>
  <si>
    <t>O2120201004044481708</t>
  </si>
  <si>
    <t>3-01-002-02-01-04-0004-08</t>
  </si>
  <si>
    <t>2.1.2.02.01.004.04.4481708</t>
  </si>
  <si>
    <t>Calentadores de agua instantáneos o de acumulación y calentadores de inmersión, aparatos eléctricos de calefacción de espacios y aparatos eléctricos de calefacción del suelo, hornos, cocinillas, planchas de cocina, calentadores eléctricos anulares, parrillas y asadores</t>
  </si>
  <si>
    <t>O212020100405</t>
  </si>
  <si>
    <t>2.1.2.02.01.004.05</t>
  </si>
  <si>
    <t>O2120201004054516099</t>
  </si>
  <si>
    <t>3-01-002-02-01-04-0005-99</t>
  </si>
  <si>
    <t>2.1.2.02.01.004.05.4516099</t>
  </si>
  <si>
    <t>Máquinas y material de oficina n.c.p.</t>
  </si>
  <si>
    <t>O212020100407</t>
  </si>
  <si>
    <t>3-01-002-02-01-04-0007</t>
  </si>
  <si>
    <t>2.1.2.02.01.004.07</t>
  </si>
  <si>
    <t>Equipo y aparatos de radio, televisión y comunicaciones</t>
  </si>
  <si>
    <t>O2120201004074721201</t>
  </si>
  <si>
    <t>3-01-002-02-01-04-0007-01</t>
  </si>
  <si>
    <t>2.1.2.02.01.004.07.4721201</t>
  </si>
  <si>
    <t>Equipos transmisores de radiodifusión</t>
  </si>
  <si>
    <t>A1308</t>
  </si>
  <si>
    <t>Programa Emisora LAUD</t>
  </si>
  <si>
    <t>O2120201004074733004</t>
  </si>
  <si>
    <t>3-01-002-02-01-04-0007-02</t>
  </si>
  <si>
    <t>2.1.2.02.01.004.07.4733004</t>
  </si>
  <si>
    <t>Micrófonos y sus soportes, altavoces, auriculares, audífonos y conjuntos combinados de micrófono/altavoz, amplificadores eléctricos de audiofrecuencia, equipos eléctricos para amplificación de sonido</t>
  </si>
  <si>
    <t>Rectoría</t>
  </si>
  <si>
    <t>O2120202</t>
  </si>
  <si>
    <t>3-01-002-02-02</t>
  </si>
  <si>
    <t>2.1.2.02.02</t>
  </si>
  <si>
    <t>Adquisición de servicios</t>
  </si>
  <si>
    <t>O2120202005</t>
  </si>
  <si>
    <t>3-01-002-02-02-05</t>
  </si>
  <si>
    <t>2.1.2.02.02.005</t>
  </si>
  <si>
    <t>Servicios de la construcción</t>
  </si>
  <si>
    <t>O212020200504</t>
  </si>
  <si>
    <t>3-01-002-02-02-05-0004</t>
  </si>
  <si>
    <t>2.1.2.02.02.005.04</t>
  </si>
  <si>
    <t>Servicios de construcción</t>
  </si>
  <si>
    <t>O21202020050407</t>
  </si>
  <si>
    <t>2.1.2.02.02.005.04.07</t>
  </si>
  <si>
    <t>Servicios de terminación y acabado de edificios</t>
  </si>
  <si>
    <t>O2120202005040754710</t>
  </si>
  <si>
    <t>3-01-002-02-02-05-0004-07</t>
  </si>
  <si>
    <t>2.1.2.02.02.005.04.07.54710</t>
  </si>
  <si>
    <t>Servicios de instalación de vidrios y ventanas</t>
  </si>
  <si>
    <t>O2120202006</t>
  </si>
  <si>
    <t>3-01-002-02-02-06</t>
  </si>
  <si>
    <t>2.1.2.02.02.006</t>
  </si>
  <si>
    <t>Servicios de alojamiento; servicios de suministro de comidas y bebidas; servicios de transporte; y servicios de distribución de electricidad, gas y agua</t>
  </si>
  <si>
    <t>O212020200603</t>
  </si>
  <si>
    <t>3-01-002-02-02-06-0003</t>
  </si>
  <si>
    <t>2.1.2.02.02.006.03</t>
  </si>
  <si>
    <t>Alojamiento; servicios de suministros de comidas y bebidas</t>
  </si>
  <si>
    <t>O21202020060363290</t>
  </si>
  <si>
    <t>2.1.2.02.02.006.03.63290</t>
  </si>
  <si>
    <t>Todos los demás servicios de alojamiento en habitaciones o unidades</t>
  </si>
  <si>
    <t>3-01-002-02-02-06-0003-02</t>
  </si>
  <si>
    <t>2.1.2.02.02.006.03.63290.01</t>
  </si>
  <si>
    <t>Facultad de Ingeniería</t>
  </si>
  <si>
    <t>Facultad de Ciencias y Educación</t>
  </si>
  <si>
    <t>Facultad del Medio Ambiente y Recursos Naturales</t>
  </si>
  <si>
    <t>Facultad Tecnológica</t>
  </si>
  <si>
    <t>Facultad de Artes - ASAB</t>
  </si>
  <si>
    <t>Facultad de Ciencias Matemáticas y Naturales</t>
  </si>
  <si>
    <t>A1207</t>
  </si>
  <si>
    <t>Programa de Relaciones lnternacionales e Interinstitucionales</t>
  </si>
  <si>
    <t>A1312</t>
  </si>
  <si>
    <t>Instituto para la Pedagogía, la Paz y el Conflicto Urbano - IPAZUD</t>
  </si>
  <si>
    <t>A1201</t>
  </si>
  <si>
    <t>O21202020060363399</t>
  </si>
  <si>
    <t>2.1.2.02.02.006.03.63399</t>
  </si>
  <si>
    <t>Otros servicios de suministro de comidas</t>
  </si>
  <si>
    <t>3-01-002-02-02-06-0003-03</t>
  </si>
  <si>
    <t>2.1.2.02.02.006.03.63399.01</t>
  </si>
  <si>
    <t>Apoyo alimentario</t>
  </si>
  <si>
    <t>O212020200604</t>
  </si>
  <si>
    <t>3-01-002-02-02-06-0004</t>
  </si>
  <si>
    <t>2.1.2.02.02.006.04</t>
  </si>
  <si>
    <t>Servicios de transporte de pasajeros</t>
  </si>
  <si>
    <t>O21202020060464112</t>
  </si>
  <si>
    <t>2.1.2.02.02.006.04.64112</t>
  </si>
  <si>
    <t>Servicios de transporte terrestre local regular de pasajeros</t>
  </si>
  <si>
    <t>O21202020060464220</t>
  </si>
  <si>
    <t>3-01-002-02-02-06-0004-02</t>
  </si>
  <si>
    <t>2.1.2.02.02.006.04.64220</t>
  </si>
  <si>
    <t>Servicios de transporte terrestre de pasajeros, diferente del transporte local y turístico de pasajeros</t>
  </si>
  <si>
    <t>O21202020060464241</t>
  </si>
  <si>
    <t>3-01-002-02-02-06-0004-04</t>
  </si>
  <si>
    <t>2.1.2.02.02.006.04.64241</t>
  </si>
  <si>
    <t>Servicios de transporte aéreo de pasajeros, excepto los servicios de aerotaxi</t>
  </si>
  <si>
    <t>A130107</t>
  </si>
  <si>
    <t>Cátedra UNESCO en Desarrollo del Niño</t>
  </si>
  <si>
    <t>A1401</t>
  </si>
  <si>
    <t>Vicerrectoría Administrativa y Financiera</t>
  </si>
  <si>
    <t>O212020200605</t>
  </si>
  <si>
    <t>3-01-002-02-02-06-0005</t>
  </si>
  <si>
    <t>2.1.2.02.02.006.05</t>
  </si>
  <si>
    <t>Servicios de transporte de carga</t>
  </si>
  <si>
    <t>O21202020060565115</t>
  </si>
  <si>
    <t>3-01-002-02-02-06-0005-15</t>
  </si>
  <si>
    <t>2.1.2.02.02.006.05.65115</t>
  </si>
  <si>
    <t>Servicios de mudanza de muebles domésticos y de oficina y otros menajes</t>
  </si>
  <si>
    <t>O212020200608</t>
  </si>
  <si>
    <t>2.1.2.02.02.006.08</t>
  </si>
  <si>
    <t>Servicios postales y de mensajería</t>
  </si>
  <si>
    <t>O21202020060868021</t>
  </si>
  <si>
    <t>3-01-002-02-02-06-0004-08</t>
  </si>
  <si>
    <t>2.1.2.02.02.006.0868021</t>
  </si>
  <si>
    <t>Servicios locales de mensajería nacional</t>
  </si>
  <si>
    <t>O2120202007</t>
  </si>
  <si>
    <t>3-01-002-02-02-07</t>
  </si>
  <si>
    <t>2.1.2.02.02.007</t>
  </si>
  <si>
    <t>Servicios financieros y servicios conexos, servicios inmobiliarios y servicios de leasing</t>
  </si>
  <si>
    <t>O212020200701</t>
  </si>
  <si>
    <t>3-01-002-02-02-07-0001</t>
  </si>
  <si>
    <t>2.1.2.02.02.007.01</t>
  </si>
  <si>
    <t>Servicios financieros y servicios conexos</t>
  </si>
  <si>
    <t>O21202020070103</t>
  </si>
  <si>
    <t>2.1.2.02.02.007.01.03</t>
  </si>
  <si>
    <t>Servicios de seguros y pensiones (excepto los servicios de reaseguro y de seguridad social de afiliación obligatoria)</t>
  </si>
  <si>
    <t>O2120202007010303</t>
  </si>
  <si>
    <t>2.1.2.02.02.007.01.03.03</t>
  </si>
  <si>
    <t>Servicios de seguros sociales de protección de otros riesgos sociales (excepto los servicios de seguridad social de afiliación obligatoria)</t>
  </si>
  <si>
    <t>3-01-002-02-02-07-0001-01</t>
  </si>
  <si>
    <t>2.1.2.02.02.007.01.03.03.71331</t>
  </si>
  <si>
    <t>Afiliación ARL Estudiantes en pasantía y Contratistas</t>
  </si>
  <si>
    <t>O2120202007010304</t>
  </si>
  <si>
    <t>2.1.2.02.02.007.01.03.04</t>
  </si>
  <si>
    <t>Servicios de seguros de salud y de accidentes</t>
  </si>
  <si>
    <t>O212020200701030471346</t>
  </si>
  <si>
    <t>3-01-002-02-02-07-0001-02</t>
  </si>
  <si>
    <t>2.1.2.02.02.007.01.03.04.71346</t>
  </si>
  <si>
    <t>Servicios de planes complementarios de salud</t>
  </si>
  <si>
    <t>O212020200701030471347</t>
  </si>
  <si>
    <t>3-01-002-02-02-07-0001-03</t>
  </si>
  <si>
    <t>2.1.2.02.02.007.01.03.04.71347</t>
  </si>
  <si>
    <t>Servicio de seguro obligatorio de accidentes de tránsito (SOAT)</t>
  </si>
  <si>
    <t>O2120202007010305</t>
  </si>
  <si>
    <t>2.1.2.02.02.007.01.03.05</t>
  </si>
  <si>
    <t>Otros servicios de seguros distintos a los seguros de vida (excepto los servicios de reaseguro)</t>
  </si>
  <si>
    <t>O212020200701030571351</t>
  </si>
  <si>
    <t>3-01-002-02-02-07-0001-04</t>
  </si>
  <si>
    <t>2.1.2.02.02.007.01.03.05.71351</t>
  </si>
  <si>
    <t>Servicios de seguros de vehículos automotores</t>
  </si>
  <si>
    <t>O212020200701030571354</t>
  </si>
  <si>
    <t>3-01-002-02-02-07-0001-05</t>
  </si>
  <si>
    <t>2.1.2.02.02.007.01.03.05.71354</t>
  </si>
  <si>
    <t>Servicios de seguros contra incendio, terremoto o sustracción</t>
  </si>
  <si>
    <t>O212020200701030571355</t>
  </si>
  <si>
    <t>3-01-002-02-02-07-0001-06</t>
  </si>
  <si>
    <t>2.1.2.02.02.007.01.03.05.71355</t>
  </si>
  <si>
    <t>Servicios de seguros generales de responsabilidad civil</t>
  </si>
  <si>
    <t>O212020200701030571356</t>
  </si>
  <si>
    <t>3-01-002-02-02-07-0001-08</t>
  </si>
  <si>
    <t>2.1.2.02.02.007.01.03.05.71356</t>
  </si>
  <si>
    <t>Servicios de seguros de cumplimiento</t>
  </si>
  <si>
    <t>Vicerrectoría Académica</t>
  </si>
  <si>
    <t>O21202020070106</t>
  </si>
  <si>
    <t>2.1.2.02.02.007.01.06</t>
  </si>
  <si>
    <t>Servicios auxiliares de seguros, pensiones y cesantías</t>
  </si>
  <si>
    <t>O2120202007010671630</t>
  </si>
  <si>
    <t>3-01-002-02-02-07-0001-07</t>
  </si>
  <si>
    <t>2.1.2.02.02.007.01.06.71630</t>
  </si>
  <si>
    <t>Servicios actuariales</t>
  </si>
  <si>
    <t>O212020200702</t>
  </si>
  <si>
    <t>3-01-002-02-02-07-0002</t>
  </si>
  <si>
    <t>2.1.2.02.02.007.02</t>
  </si>
  <si>
    <t>Servicios inmobiliarios</t>
  </si>
  <si>
    <t>O21202020070272112</t>
  </si>
  <si>
    <t>3-01-002-02-02-07-0002-01</t>
  </si>
  <si>
    <t>2.1.2.02.02.007.02.72112</t>
  </si>
  <si>
    <t>Servicios de alquiler o arrendamiento con o sin opción de compra, relativos a bienes inmuebles no residenciales (diferentes a vivienda), propios o arrendados</t>
  </si>
  <si>
    <t>Facultad Ciencias y Educación</t>
  </si>
  <si>
    <t>A120403</t>
  </si>
  <si>
    <t>Programa de Quejas, Reclamos y Atención al Ciudadano</t>
  </si>
  <si>
    <t>O21202020070272240</t>
  </si>
  <si>
    <t>3-01-002-02-02-07-0002-04</t>
  </si>
  <si>
    <t>2.1.2.02.02.007.02.72240</t>
  </si>
  <si>
    <t>Servicios de avalúo inmobiliario a comisión o por contrato</t>
  </si>
  <si>
    <t>O212020200703</t>
  </si>
  <si>
    <t>3-01-002-02-02-07-0003</t>
  </si>
  <si>
    <t>2.1.2.02.02.007.03</t>
  </si>
  <si>
    <t>Servicios de arrendamiento o alquiler sin operario</t>
  </si>
  <si>
    <t>O21202020070373290</t>
  </si>
  <si>
    <t>3-01-002-02-02-07-0003-02</t>
  </si>
  <si>
    <t>2.1.2.02.02.007.03.73290</t>
  </si>
  <si>
    <t>Servicios de arrendamiento o alquiler de otros productos n.c.p.</t>
  </si>
  <si>
    <t>O2120202008</t>
  </si>
  <si>
    <t>2.1.2.02.02.008</t>
  </si>
  <si>
    <t xml:space="preserve">Servicios prestados a las empresas y servicios de producción </t>
  </si>
  <si>
    <t>O212020200801</t>
  </si>
  <si>
    <t>3-01-002-02-02-08-0001</t>
  </si>
  <si>
    <t>2.1.2.02.02.008.01</t>
  </si>
  <si>
    <t>Servicios de investigación y desarrollo</t>
  </si>
  <si>
    <t>O21202020080181302</t>
  </si>
  <si>
    <t>3-01-002-02-02-08-0001-03</t>
  </si>
  <si>
    <t>2.1.2.02.02.008.01.81302</t>
  </si>
  <si>
    <t>Servicios interdisciplinarios de investigación aplicada - Pares Académicos</t>
  </si>
  <si>
    <t>A130401</t>
  </si>
  <si>
    <t>Oficina de Investigaciones</t>
  </si>
  <si>
    <t>Facultad de Medio Ambiente y Recursos Naturales</t>
  </si>
  <si>
    <t>O212020200802</t>
  </si>
  <si>
    <t>3-01-002-02-02-08-0002</t>
  </si>
  <si>
    <t>2.1.2.02.02.008.02</t>
  </si>
  <si>
    <t>Servicios jurídicos y contables</t>
  </si>
  <si>
    <t>O21202020080282120</t>
  </si>
  <si>
    <t>2.1.2.02.02.008.02.82120</t>
  </si>
  <si>
    <t>Servicios de asesoramiento y representación jurídica relativos a otros campos del derecho</t>
  </si>
  <si>
    <t>O21202020080282130</t>
  </si>
  <si>
    <t>3-01-002-02-02-08-0002-02</t>
  </si>
  <si>
    <t>2.1.2.02.02.008.02.82130</t>
  </si>
  <si>
    <t>Servicios de documentación y certificación jurídica</t>
  </si>
  <si>
    <t>A140301</t>
  </si>
  <si>
    <t>Oficina Financiera</t>
  </si>
  <si>
    <t>O21202020080282191</t>
  </si>
  <si>
    <t>3-01-002-02-02-08-0002-03</t>
  </si>
  <si>
    <t>2.1.2.02.02.008.02.82191</t>
  </si>
  <si>
    <t>Servicios de arbitraje y conciliación</t>
  </si>
  <si>
    <t>O21202020080282199</t>
  </si>
  <si>
    <t>3-01-002-02-02-08-0002-04</t>
  </si>
  <si>
    <t>2.1.2.02.02.008.02.82199</t>
  </si>
  <si>
    <t>Otros servicios jurídicos n.c.p.</t>
  </si>
  <si>
    <t>A1203</t>
  </si>
  <si>
    <t>Oficina de Control Interno Disciplinario</t>
  </si>
  <si>
    <t>A120402</t>
  </si>
  <si>
    <t>Oficina Asesora Jurídica</t>
  </si>
  <si>
    <t>O212020200803</t>
  </si>
  <si>
    <t>3-01-002-02-02-08-0003</t>
  </si>
  <si>
    <t>2.1.2.02.02.008.03</t>
  </si>
  <si>
    <t>Servicios profesionales, científicos y técnicos (excepto los servicios de investigación, urbanismo, jurídicos y de contabilidad)</t>
  </si>
  <si>
    <t>O212020200803831</t>
  </si>
  <si>
    <t>2.1.2.02.02.008.03.831</t>
  </si>
  <si>
    <t>Servicios de consultoría en administración y servicios de gestión, servicios de tecnología de la información</t>
  </si>
  <si>
    <t>O21202020080383115</t>
  </si>
  <si>
    <t>2.1.2.02.02.008.03.83115</t>
  </si>
  <si>
    <t>Servicios de consultoría en gestión administrativa</t>
  </si>
  <si>
    <t>3-01-002-02-02-08-0003-51</t>
  </si>
  <si>
    <t>2.1.2.02.02.008.03.83115.01</t>
  </si>
  <si>
    <t>Servicios de consultoría en gestión administrativa - Asistentes Académicos</t>
  </si>
  <si>
    <t>3-01-002-02-02-08-0003-54</t>
  </si>
  <si>
    <t>2.1.2.02.02.008.03.83115.02</t>
  </si>
  <si>
    <t>Servicios de consultoría en gestión administrativa -  Incentivos Coordinadores</t>
  </si>
  <si>
    <t>3-01-002-02-02-08-0003-55</t>
  </si>
  <si>
    <t>2.1.2.02.02.008.03.83115.03</t>
  </si>
  <si>
    <t>Servicios de consultoría en gestión administrativa - Contratistas Facultad de Artes Asab</t>
  </si>
  <si>
    <t>Facultad de Artes Asab</t>
  </si>
  <si>
    <t>3-01-002-02-02-08-0003-56</t>
  </si>
  <si>
    <t>2.1.2.02.02.008.03.83115.04</t>
  </si>
  <si>
    <t>Servicios de consultoría en gestión administrativa - Contratistas Facultad de Ciencias y Educación</t>
  </si>
  <si>
    <t>3-01-002-02-02-08-0003-57</t>
  </si>
  <si>
    <t>2.1.2.02.02.008.03.83115.05</t>
  </si>
  <si>
    <t>Servicios de consultoría en gestión administrativa - Contratistas Facultad de Ingeniería</t>
  </si>
  <si>
    <t>3-01-002-02-02-08-0003-58</t>
  </si>
  <si>
    <t>2.1.2.02.02.008.03.83115.06</t>
  </si>
  <si>
    <t>Servicios de consultoría en gestión administrativa - Contratistas Facultad de Medio Ambiente y Recursos Naturales</t>
  </si>
  <si>
    <t>3-01-002-02-02-08-0003-59</t>
  </si>
  <si>
    <t>2.1.2.02.02.008.03.83115.07</t>
  </si>
  <si>
    <t>Servicios de consultoría en gestión administrativa - Contratistas Facultad Tecnológica</t>
  </si>
  <si>
    <t>3-01-002-02-02-08-0003-60</t>
  </si>
  <si>
    <t>2.1.2.02.02.008.03.83115.08</t>
  </si>
  <si>
    <t>Servicios de consultoría en gestión administrativa - Contratistas Unidades Académicas</t>
  </si>
  <si>
    <t>A130102</t>
  </si>
  <si>
    <t>Ampliación de Cobertura</t>
  </si>
  <si>
    <t>A130103</t>
  </si>
  <si>
    <t>Observatorio Laboral</t>
  </si>
  <si>
    <t>A130104</t>
  </si>
  <si>
    <t>Centro de Apoyo y Desarrollo Educativo y Profesional - CADEP Acacia</t>
  </si>
  <si>
    <t>A130105</t>
  </si>
  <si>
    <t>Docencia y evaluación docente</t>
  </si>
  <si>
    <t>A130106</t>
  </si>
  <si>
    <t>Comité Institucional de Currículo y Calidad</t>
  </si>
  <si>
    <t>A130108</t>
  </si>
  <si>
    <t>Comité de PLANESTIC</t>
  </si>
  <si>
    <t>A1306</t>
  </si>
  <si>
    <t>Programa de Registro y Control Académico</t>
  </si>
  <si>
    <t>A1311</t>
  </si>
  <si>
    <t>Instituto de Estudios e Investigaciones Educativas - IEIE</t>
  </si>
  <si>
    <t>3-01-002-02-02-08-0003-61</t>
  </si>
  <si>
    <t>2.1.2.02.02.008.03.83115.09</t>
  </si>
  <si>
    <t>Servicios de consultoría en gestión administrativa - Contratistas Unidades Administrativas</t>
  </si>
  <si>
    <t>A1202</t>
  </si>
  <si>
    <t>Oficina de Control Interno</t>
  </si>
  <si>
    <t>A1205</t>
  </si>
  <si>
    <t>Oficina Asesora de Planeación</t>
  </si>
  <si>
    <t>A140302</t>
  </si>
  <si>
    <t>Proyecto de Presupuesto</t>
  </si>
  <si>
    <t>A140304</t>
  </si>
  <si>
    <t>Tesorería General</t>
  </si>
  <si>
    <t>A1405</t>
  </si>
  <si>
    <t>Oficina de Contratación</t>
  </si>
  <si>
    <t>3-01-002-02-02-08-0003-52</t>
  </si>
  <si>
    <t>2.1.2.02.02.008.03.83115.10</t>
  </si>
  <si>
    <t xml:space="preserve">Servicios de consultoría en gestión administrativa - Contratistas Rectoría </t>
  </si>
  <si>
    <t>Emisora LAUD Estéreo</t>
  </si>
  <si>
    <t>3-01-002-02-02-08-0003-53</t>
  </si>
  <si>
    <t>2.1.2.02.02.008.03.83115.11</t>
  </si>
  <si>
    <t>Servicios de consultoría en gestión administrativa - Oficina de Investigaciones</t>
  </si>
  <si>
    <t>A130402</t>
  </si>
  <si>
    <t>Red de Investigaciones de Tecnología Avanzada - RITA</t>
  </si>
  <si>
    <t>A130403</t>
  </si>
  <si>
    <t>Instituto de Investigación e Innovación en Ingeniería - I3+</t>
  </si>
  <si>
    <t>3-01-002-02-02-08-0003-69</t>
  </si>
  <si>
    <t>2.1.2.02.02.008.03.83115.12</t>
  </si>
  <si>
    <t>Servicios de consultoría en gestión administrativa - Contratistas Facultad Ciencias Matemáticas y Naturales</t>
  </si>
  <si>
    <t>3-01-002-02-02-08-0003-70</t>
  </si>
  <si>
    <t>2.1.2.02.02.008.03.83115.13</t>
  </si>
  <si>
    <t>Servicios de consultoría en gestión administrativa - Contratistas Doctorados</t>
  </si>
  <si>
    <t>A130202030101</t>
  </si>
  <si>
    <t>Doctorado lnterinstitucional en Educación</t>
  </si>
  <si>
    <t>A130205030101</t>
  </si>
  <si>
    <t>Doctorado en Estudios Artísticos</t>
  </si>
  <si>
    <t>A130202030102</t>
  </si>
  <si>
    <t xml:space="preserve">Doctorado en Estudios sociales </t>
  </si>
  <si>
    <t>A130201030101</t>
  </si>
  <si>
    <t>Doctorado en Ingeniería</t>
  </si>
  <si>
    <t>A130203030101</t>
  </si>
  <si>
    <t>Doctorado en Ambiente e Ingeniería Sustentable</t>
  </si>
  <si>
    <t>3-01-002-02-02-08-0003-72</t>
  </si>
  <si>
    <t>2.1.2.02.02.008.03.83115.14</t>
  </si>
  <si>
    <t>Servicios de consultoría en gestión administrativa - Contratistas Facultad Ciencias de la Salud</t>
  </si>
  <si>
    <t>Facultad de Ciencias de la Salud</t>
  </si>
  <si>
    <t>3-01-002-02-02-08-0003-73</t>
  </si>
  <si>
    <t>2.1.2.02.02.008.03.83115.15</t>
  </si>
  <si>
    <t>Servicios de consultoría en gestión administrativa - Contratistas Oficina de Bienestar Universitario</t>
  </si>
  <si>
    <t>A130302</t>
  </si>
  <si>
    <t>Grupo de Egresados</t>
  </si>
  <si>
    <t>O2120202008038313</t>
  </si>
  <si>
    <t>2.1.2.02.02.008.03.8313</t>
  </si>
  <si>
    <t>Servicios de consultoría y soporte en tecnologías de la información (TI)</t>
  </si>
  <si>
    <t>O21202020080383131</t>
  </si>
  <si>
    <t>3-01-002-02-02-08-0003-62</t>
  </si>
  <si>
    <t>2.1.2.02.02.008.03.83131</t>
  </si>
  <si>
    <t>Servicios de consultoría en tecnologías de la información (TI)</t>
  </si>
  <si>
    <t>O21202020080383132</t>
  </si>
  <si>
    <t>3-01-002-02-02-08-0003-63</t>
  </si>
  <si>
    <t>2.1.2.02.02.008.03.83132</t>
  </si>
  <si>
    <t>Servicios de soporte en tecnologías de la información (TI)</t>
  </si>
  <si>
    <t>O212020200803834</t>
  </si>
  <si>
    <t>2.1.2.02.02.008.03.834</t>
  </si>
  <si>
    <t>Servicios científicos y otros servicios técnicos</t>
  </si>
  <si>
    <t>O21202020080383449</t>
  </si>
  <si>
    <t>3-01-002-02-02-08-0003-49</t>
  </si>
  <si>
    <t>2.1.2.02.02.008.03.83449</t>
  </si>
  <si>
    <t>Otros servicios de ensayos y análisis técnicos</t>
  </si>
  <si>
    <t>O212020200803836</t>
  </si>
  <si>
    <t>2.1.2.02.02.008.03.836</t>
  </si>
  <si>
    <t>Servicios de publicidad y suministro de espacio o tiempo publicitario</t>
  </si>
  <si>
    <t>O21202020080383619</t>
  </si>
  <si>
    <t>3-01-002-02-02-08-0003-64</t>
  </si>
  <si>
    <t>2.1.2.02.02.008.03.83619</t>
  </si>
  <si>
    <t>Otros servicios de publicidad</t>
  </si>
  <si>
    <t>O21202020080383620</t>
  </si>
  <si>
    <t>3-01-002-02-02-08-0003-71</t>
  </si>
  <si>
    <t>2.1.2.02.02.008.03.83620</t>
  </si>
  <si>
    <t>Servicios de venta o alquiler de espacio o tiempo publicitario a comisión</t>
  </si>
  <si>
    <t>Rectoria</t>
  </si>
  <si>
    <t>O21202020080383639</t>
  </si>
  <si>
    <t>3-01-002-02-02-08-0003-65</t>
  </si>
  <si>
    <t>2.1.2.02.02.008.03.83639</t>
  </si>
  <si>
    <t>Otros servicios de venta de espacio o tiempo publicitario (excepto a comisión)</t>
  </si>
  <si>
    <t>O212020200804</t>
  </si>
  <si>
    <t>3-01-002-02-02-08-0004</t>
  </si>
  <si>
    <t>2.1.2.02.02.008.04</t>
  </si>
  <si>
    <t>Servicios de telecomunicaciones, transmisión y suministro de información</t>
  </si>
  <si>
    <t>O212020200804841</t>
  </si>
  <si>
    <t>2.1.2.02.02.008.04.841</t>
  </si>
  <si>
    <t>Servicios de telefonía y otros servicios de telecomunicaciones</t>
  </si>
  <si>
    <t>O21202020080484110</t>
  </si>
  <si>
    <t>3-01-002-02-02-08-0004-11</t>
  </si>
  <si>
    <t>2.1.2.02.02.008.04.84110</t>
  </si>
  <si>
    <t>Servicios de operadores (conexión)</t>
  </si>
  <si>
    <t>O21202020080484120</t>
  </si>
  <si>
    <t>3-01-002-02-02-08-0004-12</t>
  </si>
  <si>
    <t>2.1.2.02.02.008.04.84120</t>
  </si>
  <si>
    <t>Servicios de telefonía fija (acceso)</t>
  </si>
  <si>
    <t>O212020200804842</t>
  </si>
  <si>
    <t>2.1.2.02.02.008.04.842</t>
  </si>
  <si>
    <t>Servicios de telecomunicaciones vía Internet</t>
  </si>
  <si>
    <t>O21202020080484222</t>
  </si>
  <si>
    <t>3-01-002-02-02-08-0004-22</t>
  </si>
  <si>
    <t>2.1.2.02.02.008.04.84222</t>
  </si>
  <si>
    <t>Servicios de acceso a Internet</t>
  </si>
  <si>
    <t>O212020200804846</t>
  </si>
  <si>
    <t>2.1.2.02.02.008.04.846</t>
  </si>
  <si>
    <t>Servicios de transmisión, programación y distribución de programas</t>
  </si>
  <si>
    <t>O21202020080484611</t>
  </si>
  <si>
    <t>3-01-002-02-02-08-0004-61</t>
  </si>
  <si>
    <t>2.1.2.02.02.008.04.84611</t>
  </si>
  <si>
    <t>Servicios de transmisión de programas de radio</t>
  </si>
  <si>
    <t>O21202020080484633</t>
  </si>
  <si>
    <t>3-01-002-02-02-08-0004-63</t>
  </si>
  <si>
    <t>2.1.2.02.02.008.04.84633</t>
  </si>
  <si>
    <t xml:space="preserve">Servicios de distribución de programas multicanal, en paquete básico de programación </t>
  </si>
  <si>
    <t>O212020200805</t>
  </si>
  <si>
    <t>3-01-002-02-02-08-0005</t>
  </si>
  <si>
    <t>2.1.2.02.02.008.05</t>
  </si>
  <si>
    <t>Servicios de soporte</t>
  </si>
  <si>
    <t>O212020200805852</t>
  </si>
  <si>
    <t>2.1.2.02.02.008.05.852</t>
  </si>
  <si>
    <t>Servicios de investigación y seguridad</t>
  </si>
  <si>
    <t>O21202020080585230</t>
  </si>
  <si>
    <t>3-01-002-02-02-08-0000</t>
  </si>
  <si>
    <t>2.1.2.02.02.008.05.85230</t>
  </si>
  <si>
    <t>Servicios de sistemas de seguridad</t>
  </si>
  <si>
    <t>O21202020080585250</t>
  </si>
  <si>
    <t>3-01-002-02-02-08-0005-25</t>
  </si>
  <si>
    <t>2.1.2.02.02.008.05.85250</t>
  </si>
  <si>
    <t>Servicios de protección (guardas de seguridad)</t>
  </si>
  <si>
    <t>O212020200805853</t>
  </si>
  <si>
    <t>2.1.2.02.02.008.05.853</t>
  </si>
  <si>
    <t>Servicios de limpieza</t>
  </si>
  <si>
    <t>O21202020080585310</t>
  </si>
  <si>
    <t>3-01-002-02-02-08-0005-31</t>
  </si>
  <si>
    <t>2.1.2.02.02.008.05.85310</t>
  </si>
  <si>
    <t>Servicios de desinfección y exterminación</t>
  </si>
  <si>
    <t>O21202020080585330</t>
  </si>
  <si>
    <t>3-01-002-02-02-08-0005-33</t>
  </si>
  <si>
    <t>2.1.2.02.02.008.05.85330</t>
  </si>
  <si>
    <t>Servicios de limpieza general</t>
  </si>
  <si>
    <t>O21202020080585340</t>
  </si>
  <si>
    <t>3-01-002-02-02-08-0005-34</t>
  </si>
  <si>
    <t>2.1.2.02.02.008.05.85340</t>
  </si>
  <si>
    <t>Servicios especializados de limpieza</t>
  </si>
  <si>
    <t>O212020200805859</t>
  </si>
  <si>
    <t>2.1.2.02.02.008.05.859</t>
  </si>
  <si>
    <t>Otros servicios auxiliares</t>
  </si>
  <si>
    <t>O2120202008058595</t>
  </si>
  <si>
    <t>2.1.2.02.02.008.05.8595</t>
  </si>
  <si>
    <t>Servicios auxiliares especializados de oficina</t>
  </si>
  <si>
    <t>O21202020080585954</t>
  </si>
  <si>
    <t>3-01-002-02-02-08-0005-54</t>
  </si>
  <si>
    <t>2.1.2.02.02.008.05.85954</t>
  </si>
  <si>
    <t>Servicios de preparación de documentos y otros servicios especializados de apoyo a oficina</t>
  </si>
  <si>
    <t>O2120202008058596</t>
  </si>
  <si>
    <t>2.1.2.02.02.008.05.8596</t>
  </si>
  <si>
    <t>Servicios de organización y asistencia de convenciones y ferias</t>
  </si>
  <si>
    <t>O21202020080585961</t>
  </si>
  <si>
    <t>2.1.2.02.02.008.05.85961</t>
  </si>
  <si>
    <t xml:space="preserve">Servicios de organización y asistencia de convenciones </t>
  </si>
  <si>
    <t>3-01-002-02-02-08-0005-61</t>
  </si>
  <si>
    <t>2.1.2.02.02.008.05.85961.01</t>
  </si>
  <si>
    <t>Programa Centro de Relaciones lnterinstitucionales (CERI)</t>
  </si>
  <si>
    <t>Oficina Asesora de Planeacion</t>
  </si>
  <si>
    <t>3-01-002-02-02-08-0005-62</t>
  </si>
  <si>
    <t>2.1.2.02.02.008.05.85961.02</t>
  </si>
  <si>
    <t>Membresías</t>
  </si>
  <si>
    <t>O2120202008058597</t>
  </si>
  <si>
    <t>2.1.2.02.02.008.05.8597</t>
  </si>
  <si>
    <t>Servicios de mantenimiento y cuidado del paisaje</t>
  </si>
  <si>
    <t>O21202020080585970</t>
  </si>
  <si>
    <t>3-01-002-02-02-08-0005-97</t>
  </si>
  <si>
    <t>2.1.2.02.02.008.05.85970</t>
  </si>
  <si>
    <t>O212020200806</t>
  </si>
  <si>
    <t>2.1.2.02.02.008.06</t>
  </si>
  <si>
    <t>Servicios de apoyo y de operación para la agricultura, la caza, la silvicultura, la pesca, la minería y los servicios públicos</t>
  </si>
  <si>
    <t>O212020200806863</t>
  </si>
  <si>
    <t>3-01-002-02-02-08-0006</t>
  </si>
  <si>
    <t>2.1.2.02.02.008.06.863</t>
  </si>
  <si>
    <t>Servicios de apoyo y de operación para la distribución de electricidad, gas y agua</t>
  </si>
  <si>
    <t>O21202020080686312</t>
  </si>
  <si>
    <t>3-01-002-02-02-08-0006-31</t>
  </si>
  <si>
    <t>2.1.2.02.02.008.06.86312</t>
  </si>
  <si>
    <t>Servicios de distribución de electricidad (a comisión o por contrato)</t>
  </si>
  <si>
    <t>O21202020080686320</t>
  </si>
  <si>
    <t>3-01-002-02-02-08-0006-32</t>
  </si>
  <si>
    <t>2.1.2.02.02.008.06.86320</t>
  </si>
  <si>
    <t>Servicios de distribución de gas por tuberías (a comisión o por contrato)</t>
  </si>
  <si>
    <t>O21202020080686330</t>
  </si>
  <si>
    <t>3-01-002-02-02-08-0006-33</t>
  </si>
  <si>
    <t>2.1.2.02.02.008.06.86330</t>
  </si>
  <si>
    <t>Servicios de distribución de agua por tubería (a comisión o por contrato)</t>
  </si>
  <si>
    <t>O212020200807</t>
  </si>
  <si>
    <t>3-01-002-02-02-08-0007</t>
  </si>
  <si>
    <t>2.1.2.02.02.008.07</t>
  </si>
  <si>
    <t>Servicios de mantenimiento, reparación e instalación (excepto servicios de construcción)</t>
  </si>
  <si>
    <t>O2120202008078711</t>
  </si>
  <si>
    <t>2.1.2.02.02.008.07.8711</t>
  </si>
  <si>
    <t>Servicios de mantenimiento y reparación de productos metálicos elaborados, (excepto maquinaria y equipo)</t>
  </si>
  <si>
    <t>O2120202008078711002</t>
  </si>
  <si>
    <t>3-01-002-02-02-08-0007-11</t>
  </si>
  <si>
    <t>2.1.2.02.02.008.07.8711002</t>
  </si>
  <si>
    <t>Servicio de mantenimiento y reparación de depósitos, cisternas, tanques y recipientes de metal, (excepto los utilizados para el envase o transporte de mercancías)</t>
  </si>
  <si>
    <t>O2120202008078711099</t>
  </si>
  <si>
    <t>3-01-002-02-02-08-0007-12</t>
  </si>
  <si>
    <t>2.1.2.02.02.008.07.8711099</t>
  </si>
  <si>
    <t>Servicio de mantenimiento y reparación de otros productos metálicos elaborados n.c.p.</t>
  </si>
  <si>
    <t>O2120202008078713</t>
  </si>
  <si>
    <t>2.1.2.02.02.008.07.8713</t>
  </si>
  <si>
    <t>Servicios de mantenimiento y reparación de computadores y equipos periféricos</t>
  </si>
  <si>
    <t>O21202020080787130</t>
  </si>
  <si>
    <t>3-01-002-02-02-08-0007-13</t>
  </si>
  <si>
    <t>2.1.2.02.02.008.07.87130</t>
  </si>
  <si>
    <t>O2120202008078714</t>
  </si>
  <si>
    <t>2.1.2.02.02.008.07.8714</t>
  </si>
  <si>
    <t>Servicios de mantenimiento y reparación de maquinaria y equipo de transporte</t>
  </si>
  <si>
    <t>O2120202008078714102</t>
  </si>
  <si>
    <t>3-01-002-02-02-08-0007-14</t>
  </si>
  <si>
    <t>2.1.2.02.02.008.07.8714102</t>
  </si>
  <si>
    <t>Servicio de mantenimiento y reparación de vehículos automóviles</t>
  </si>
  <si>
    <t>O2120202008078715</t>
  </si>
  <si>
    <t>2.1.2.02.02.008.07.8715</t>
  </si>
  <si>
    <t>Servicios de mantenimiento y reparación de otra maquinaria y otro equipo</t>
  </si>
  <si>
    <t>O21202020080787151</t>
  </si>
  <si>
    <t>2.1.2.02.02.008.07.87151</t>
  </si>
  <si>
    <t>Servicios de mantenimiento y reparación de electrodomésticos</t>
  </si>
  <si>
    <t>O2120202008078715203</t>
  </si>
  <si>
    <t>3-01-002-02-02-08-0007-16</t>
  </si>
  <si>
    <t>2.1.2.02.02.008.07.8715203</t>
  </si>
  <si>
    <t>Servicio de mantenimiento y reparación de aparatos de distribución y control de la energía eléctrica</t>
  </si>
  <si>
    <t>O2120202008078715205</t>
  </si>
  <si>
    <t>2.1.2.02.02.008.07.8715205</t>
  </si>
  <si>
    <t>Servicio de mantenimiento y reparación de equipos eléctricos de iluminación</t>
  </si>
  <si>
    <t>O2120202008078715299</t>
  </si>
  <si>
    <t>2.1.2.02.02.008.07.8715299</t>
  </si>
  <si>
    <t>Otros servicios de mantenimiento y reparación de maquinaria y aparatos eléctricos n.c.p.</t>
  </si>
  <si>
    <t>O2120202008078715399</t>
  </si>
  <si>
    <t>3-01-002-02-02-08-0007-19</t>
  </si>
  <si>
    <t>2.1.2.02.02.008.07.8715399</t>
  </si>
  <si>
    <t>Servicios de mantenimiento y reparación de equipos y aparatos de telecomunicaciones n.c.p.</t>
  </si>
  <si>
    <t>O2120202008078715402</t>
  </si>
  <si>
    <t>3-01-002-02-02-08-0007-00</t>
  </si>
  <si>
    <t>2.1.2.02.02.008.07.8715402</t>
  </si>
  <si>
    <t>Servicio de mantenimiento y reparación de equipo de irradiación y equipo electrónico de uso médico y terapéutico</t>
  </si>
  <si>
    <t>O2120202008078715602</t>
  </si>
  <si>
    <t>3-01-002-02-02-08-0007-21</t>
  </si>
  <si>
    <t>2.1.2.02.02.008.07.8715602</t>
  </si>
  <si>
    <t>Servicio de mantenimiento y reparación de equipos de fuerza hidráulica y de potencia neumática, bombas, compresores y válvulas</t>
  </si>
  <si>
    <t>O2120202008078715605</t>
  </si>
  <si>
    <t>2.1.2.02.02.008.07.8715605</t>
  </si>
  <si>
    <t>Servicio de mantenimiento y reparación de equipos de elevación, manipulación y sus partes y piezas</t>
  </si>
  <si>
    <t>O2120202008078715614</t>
  </si>
  <si>
    <t>3-01-002-02-02-08-0007-20</t>
  </si>
  <si>
    <t>2.1.2.02.02.008.07.8715614</t>
  </si>
  <si>
    <t>Servicio de mantenimiento y reparación de maquinaria y equipo para las actividades de impresión</t>
  </si>
  <si>
    <t>O2120202008078715701</t>
  </si>
  <si>
    <t>3-01-002-02-02-08-0007-23</t>
  </si>
  <si>
    <t>2.1.2.02.02.008.07.8715701</t>
  </si>
  <si>
    <t>Servicio de mantenimiento y reparación de ascensores</t>
  </si>
  <si>
    <t>O2120202008078715999</t>
  </si>
  <si>
    <t>3-01-002-02-02-08-0007-24</t>
  </si>
  <si>
    <t>2.1.2.02.02.008.07.8715999</t>
  </si>
  <si>
    <t>Servicios de mantenimiento y reparación de otros equipos n.c.p.</t>
  </si>
  <si>
    <t>O212020200809</t>
  </si>
  <si>
    <t>3-01-002-02-02-08-0009</t>
  </si>
  <si>
    <t>2.1.2.02.02.008.09</t>
  </si>
  <si>
    <t>Otros servicios de fabricación; servicios de edición, impresión y reproducción; servicios de recuperación de materiales</t>
  </si>
  <si>
    <t>O212020200809891</t>
  </si>
  <si>
    <t>2.1.2.02.02.008.09.891</t>
  </si>
  <si>
    <t>Servicios de edición, impresión y reproducción</t>
  </si>
  <si>
    <t>O2120202008098912197</t>
  </si>
  <si>
    <t>2.1.2.02.02.008.09.8912197</t>
  </si>
  <si>
    <t>Servicios de impresión litográfica n.c.p.</t>
  </si>
  <si>
    <t>3-01-002-02-02-08-0009-01</t>
  </si>
  <si>
    <t>2.1.2.02.02.008.09.8912197.01</t>
  </si>
  <si>
    <t>Servicios de impresión</t>
  </si>
  <si>
    <t>Secretaría General</t>
  </si>
  <si>
    <t>3-01-002-02-02-08-0009-02</t>
  </si>
  <si>
    <t>2.1.2.02.02.008.09.8912197.02</t>
  </si>
  <si>
    <t>Servicios relacionados con la impresión</t>
  </si>
  <si>
    <t>O2120202009</t>
  </si>
  <si>
    <t>3-01-002-02-02-09</t>
  </si>
  <si>
    <t>2.1.2.02.02.009</t>
  </si>
  <si>
    <t>Servicios para la comunidad, sociales y personales</t>
  </si>
  <si>
    <t>O212020200901</t>
  </si>
  <si>
    <t>2.1.2.02.02.009.01</t>
  </si>
  <si>
    <t>Servicios de la administración pública y otros servicios prestados a la comunidad en general; servicios de seguridad social de afiliación obligatoria</t>
  </si>
  <si>
    <t>O21202020090191119</t>
  </si>
  <si>
    <t>2.1.2.02.02.009.01.91119</t>
  </si>
  <si>
    <t>Otros servicios de la administración pública n.c.p.</t>
  </si>
  <si>
    <t>3-01-002-02-02-09-0001</t>
  </si>
  <si>
    <t>2.1.2.02.02.009.01.91119.01</t>
  </si>
  <si>
    <t>Otros servicios de la administración pública n.c.p. - Consejo Superior Universitario</t>
  </si>
  <si>
    <t>A1101</t>
  </si>
  <si>
    <t>Consejo Superior Universitario</t>
  </si>
  <si>
    <t>O212020200902</t>
  </si>
  <si>
    <t>3-01-002-02-02-09-0002</t>
  </si>
  <si>
    <t>2.1.2.02.02.009.02</t>
  </si>
  <si>
    <t xml:space="preserve">Servicios de educación </t>
  </si>
  <si>
    <t>O21202020090292913</t>
  </si>
  <si>
    <t>2.1.2.02.02.009.02.92913</t>
  </si>
  <si>
    <t>Servicios de educación para la formación y el trabajo</t>
  </si>
  <si>
    <t>3-01-002-02-02-09-0002-01</t>
  </si>
  <si>
    <t>2.1.2.02.02.009.02.92913.01</t>
  </si>
  <si>
    <t>Capacitación Administrativos</t>
  </si>
  <si>
    <t>3-01-002-02-02-09-0002-02</t>
  </si>
  <si>
    <t>2.1.2.02.02.009.02.92913.02</t>
  </si>
  <si>
    <t xml:space="preserve">Capacitación Docentes </t>
  </si>
  <si>
    <t>O21202020090292920</t>
  </si>
  <si>
    <t>2.1.2.02.02.009.02.92920</t>
  </si>
  <si>
    <t>Servicios de apoyo educativo</t>
  </si>
  <si>
    <t>3-01-002-02-02-09-0002-21</t>
  </si>
  <si>
    <t>2.1.2.02.02.009.02.92920.01</t>
  </si>
  <si>
    <t>Estímulos académicos</t>
  </si>
  <si>
    <t>3-01-002-02-02-09-0002-22</t>
  </si>
  <si>
    <t>2.1.2.02.02.009.02.92920.02</t>
  </si>
  <si>
    <t>Encuentro de estudiantes</t>
  </si>
  <si>
    <t>3-01-002-02-02-09-0002-23</t>
  </si>
  <si>
    <t>2.1.2.02.02.009.02.92920.03</t>
  </si>
  <si>
    <t>Prácticas Académicas Facultad Artes - ASAB</t>
  </si>
  <si>
    <t>3-01-002-02-02-09-0002-24</t>
  </si>
  <si>
    <t>2.1.2.02.02.009.02.92920.04</t>
  </si>
  <si>
    <t>Prácticas Académicas Facultad Ciencias y Educación</t>
  </si>
  <si>
    <t>3-01-002-02-02-09-0002-25</t>
  </si>
  <si>
    <t>2.1.2.02.02.009.02.92920.05</t>
  </si>
  <si>
    <t>Prácticas Académicas Facultad Ingeniería</t>
  </si>
  <si>
    <t>3-01-002-02-02-09-0002-26</t>
  </si>
  <si>
    <t>2.1.2.02.02.009.02.92920.06</t>
  </si>
  <si>
    <t>Prácticas Académicas Facultad Medio Ambiente y Recursos Naturales</t>
  </si>
  <si>
    <t>3-01-002-02-02-09-0002-27</t>
  </si>
  <si>
    <t>2.1.2.02.02.009.02.92920.07</t>
  </si>
  <si>
    <t>Prácticas Académicas Facultad Tecnológica</t>
  </si>
  <si>
    <t>3-01-002-02-02-09-0002-29</t>
  </si>
  <si>
    <t>2.1.2.02.02.009.02.92920.09</t>
  </si>
  <si>
    <t>Prácticas Académicas Facultad de Ciencias Matemáticas y Naturales</t>
  </si>
  <si>
    <t>2.1.2.02.02.009.02.92920.10</t>
  </si>
  <si>
    <t>Prácticas Académicas Facultad de Ciencias de la Salud</t>
  </si>
  <si>
    <t xml:space="preserve">2.1.2.02.02.009.02.92913.02 </t>
  </si>
  <si>
    <t> </t>
  </si>
  <si>
    <t xml:space="preserve">Bienestar Universitario Laboral </t>
  </si>
  <si>
    <t xml:space="preserve"> 2.1.2.02.02.009.02.92913.02  </t>
  </si>
  <si>
    <t>3-01-002-02-02-09-0002-31</t>
  </si>
  <si>
    <t>2.1.2.02.02.009.02.92920.11</t>
  </si>
  <si>
    <t>Servicios de orientación y asesoramiento de Programas de Ampliación de Cobertura</t>
  </si>
  <si>
    <t>O212020200903</t>
  </si>
  <si>
    <t>3-01-002-02-02-09-0003</t>
  </si>
  <si>
    <t>2.1.2.02.02.009.03</t>
  </si>
  <si>
    <t>Servicios para el cuidado de la salud humana y servicios sociales</t>
  </si>
  <si>
    <t>O21202020090393121</t>
  </si>
  <si>
    <t>2.1.2.02.02.009.03.93121</t>
  </si>
  <si>
    <t>Servicios médicos generales</t>
  </si>
  <si>
    <t>3-01-002-02-02-09-0003-01</t>
  </si>
  <si>
    <t>2.1.2.02.02.009.03.93121.01</t>
  </si>
  <si>
    <t>Sistema General de Seguridad y Salud en el Trabajo SG-SST</t>
  </si>
  <si>
    <t>O212020200904</t>
  </si>
  <si>
    <t>3-01-002-02-02-09-0004</t>
  </si>
  <si>
    <t>2.1.2.02.02.009.04</t>
  </si>
  <si>
    <t>Servicios de alcantarillado, recolección, tratamiento y disposición de desechos y otros servicios de saneamiento ambiental</t>
  </si>
  <si>
    <t>O21202020090494110</t>
  </si>
  <si>
    <t>3-01-002-02-02-09-0004-01</t>
  </si>
  <si>
    <t>2.1.2.02.02.009.04.94110</t>
  </si>
  <si>
    <t>Servicios de alcantarillado y tratamiento de aguas residuales</t>
  </si>
  <si>
    <t>O21202020090494219</t>
  </si>
  <si>
    <t>3-01-002-02-02-09-0004-03</t>
  </si>
  <si>
    <t>2.1.2.02.02.009.04.94219</t>
  </si>
  <si>
    <t>Servicios de recolección de otros desechos peligrosos</t>
  </si>
  <si>
    <t>O21202020090494239</t>
  </si>
  <si>
    <t>3-01-002-02-02-09-0004-04</t>
  </si>
  <si>
    <t>2.1.2.02.02.009.04.94239</t>
  </si>
  <si>
    <t>Servicios generales de recolección de otros desechos</t>
  </si>
  <si>
    <t>O212020200906</t>
  </si>
  <si>
    <t>3-01-002-02-02-09-0006</t>
  </si>
  <si>
    <t>2.1.2.02.02.009.06</t>
  </si>
  <si>
    <t>Servicios Recreativos, Culturales y Deportivos</t>
  </si>
  <si>
    <t>O212020200906961</t>
  </si>
  <si>
    <t>2.1.2.02.02.009.06.01</t>
  </si>
  <si>
    <t>Servicios audiovisuales y servicios conexos</t>
  </si>
  <si>
    <t>O21202020090696123</t>
  </si>
  <si>
    <t>3-01-002-02-02-09-0006-01</t>
  </si>
  <si>
    <t>2.1.2.02.02.009.06.96123</t>
  </si>
  <si>
    <t>Servicios de producciones originales de películas cinematográficas, videos, programas de televisión y radio</t>
  </si>
  <si>
    <t>O2120202010</t>
  </si>
  <si>
    <t>3-01-002-02-02-10</t>
  </si>
  <si>
    <t>2.1.2.02.02.010</t>
  </si>
  <si>
    <t>Viáticos de los funcionarios en comisión</t>
  </si>
  <si>
    <t>3-01-002-02-02-10-0001-00</t>
  </si>
  <si>
    <t>2.1.2.02.02.010.01</t>
  </si>
  <si>
    <t>Viáticos y gastos de viaje CSU</t>
  </si>
  <si>
    <t>3-01-002-02-02-10-0002-01</t>
  </si>
  <si>
    <t>2.1.2.02.02.010.02</t>
  </si>
  <si>
    <t>Viáticos y gastos de viaje - UAA</t>
  </si>
  <si>
    <t>Vicerrectoria Administrativa y Financiera</t>
  </si>
  <si>
    <t>3-01-002-02-02-10-0003-00</t>
  </si>
  <si>
    <t>2.1.2.02.02.010.03</t>
  </si>
  <si>
    <t>Viáticos y gastos de viaje - Organizaciones Sindicales</t>
  </si>
  <si>
    <t>O213</t>
  </si>
  <si>
    <t>3-01-003</t>
  </si>
  <si>
    <t>2.1.3</t>
  </si>
  <si>
    <t>Transferencias corrientes</t>
  </si>
  <si>
    <t>O21307</t>
  </si>
  <si>
    <t>3-01-003-07</t>
  </si>
  <si>
    <t>2.1.3.07</t>
  </si>
  <si>
    <t>Prestaciones para cubrir riesgos sociales</t>
  </si>
  <si>
    <t>O2130702</t>
  </si>
  <si>
    <t>3-01-003-07-02</t>
  </si>
  <si>
    <t>2.1.3.07.02</t>
  </si>
  <si>
    <t>Prestaciones sociales relacionadas con el empleo</t>
  </si>
  <si>
    <t>O2130702001</t>
  </si>
  <si>
    <t>3-01-003-07-02-12</t>
  </si>
  <si>
    <t>2.1.3.07.02.001</t>
  </si>
  <si>
    <t>Mesadas pensionales (de pensiones)</t>
  </si>
  <si>
    <t>O213070200102</t>
  </si>
  <si>
    <t>3-01-003-07-02-12-0000-00</t>
  </si>
  <si>
    <t>2.1.3.07.02.001.02</t>
  </si>
  <si>
    <t>Mesadas pensionales a cargo de la entidad (de pensiones)</t>
  </si>
  <si>
    <t>O2130702002</t>
  </si>
  <si>
    <t>3-01-003-07-02-02</t>
  </si>
  <si>
    <t>2.1.3.07.02.002</t>
  </si>
  <si>
    <t>Cuotas partes pensionales (de pensiones)</t>
  </si>
  <si>
    <t>O213070200202</t>
  </si>
  <si>
    <t>3-01-003-07-02-02-0002-00</t>
  </si>
  <si>
    <t>2.1.3.07.02.002.02</t>
  </si>
  <si>
    <t>Cuotas partes pensionales a cargo de la entidad (de pensiones)</t>
  </si>
  <si>
    <t>O2130702003</t>
  </si>
  <si>
    <t>3-01-003-07-02-03</t>
  </si>
  <si>
    <t>2.1.3.07.02.003</t>
  </si>
  <si>
    <t>Bonos pensionales (de pensiones)</t>
  </si>
  <si>
    <t>O213070200302</t>
  </si>
  <si>
    <t>3-01-003-07-02-03-0002</t>
  </si>
  <si>
    <t>2.1.3.07.02.003.02</t>
  </si>
  <si>
    <t>Bonos pensionales a cargo de la entidad (de pensiones)</t>
  </si>
  <si>
    <t>O21307020030204</t>
  </si>
  <si>
    <t>3-01-003-07-02-03-0002-04</t>
  </si>
  <si>
    <t>2.1.3.07.02.003.02.04</t>
  </si>
  <si>
    <t>Reserva pensional</t>
  </si>
  <si>
    <t>O21313</t>
  </si>
  <si>
    <t>3-01-003-13</t>
  </si>
  <si>
    <t>2.1.3.13</t>
  </si>
  <si>
    <t>Sentencias y conciliaciones</t>
  </si>
  <si>
    <t>O2131301</t>
  </si>
  <si>
    <t>3-01-003-13-01</t>
  </si>
  <si>
    <t>2.1.3.13.01</t>
  </si>
  <si>
    <t>Fallos Nacionales</t>
  </si>
  <si>
    <t>O2131301001</t>
  </si>
  <si>
    <t>3-01-003-13-01-01-0001-00</t>
  </si>
  <si>
    <t>2.1.3.13.01.001</t>
  </si>
  <si>
    <t>Sentencias</t>
  </si>
  <si>
    <t>O2131301002</t>
  </si>
  <si>
    <t>2.1.3.13.01.002</t>
  </si>
  <si>
    <t>Conciliaciones</t>
  </si>
  <si>
    <t>O217</t>
  </si>
  <si>
    <t>3-01-007</t>
  </si>
  <si>
    <t>2.1.7</t>
  </si>
  <si>
    <t>Disminución de pasivos</t>
  </si>
  <si>
    <t>O21701</t>
  </si>
  <si>
    <t>3-01-007-01</t>
  </si>
  <si>
    <t>2.1.7.01</t>
  </si>
  <si>
    <t>Cesantías</t>
  </si>
  <si>
    <t>O2170101</t>
  </si>
  <si>
    <t>3-01-007-01-01-00-0000-00</t>
  </si>
  <si>
    <t>2.1.7.01.01</t>
  </si>
  <si>
    <t>Cesantías definitivas</t>
  </si>
  <si>
    <t>02170102</t>
  </si>
  <si>
    <t>3-01-007-01-02-00-0000-00</t>
  </si>
  <si>
    <t>2.1.7.01.02</t>
  </si>
  <si>
    <t>Cesantías parciales</t>
  </si>
  <si>
    <t>O218</t>
  </si>
  <si>
    <t>3-01-008</t>
  </si>
  <si>
    <t>2.1.8</t>
  </si>
  <si>
    <t>Gastos por tributos, tasas, contribuciones, multas, sanciones e intereses de mora</t>
  </si>
  <si>
    <t>O21801</t>
  </si>
  <si>
    <t>3-01-008-01</t>
  </si>
  <si>
    <t>2.1.8.01</t>
  </si>
  <si>
    <t>Impuestos</t>
  </si>
  <si>
    <t>O218011</t>
  </si>
  <si>
    <t>2.1.8.01.1</t>
  </si>
  <si>
    <t>Impuesto sobre la renta y complementarios</t>
  </si>
  <si>
    <t>O218010104</t>
  </si>
  <si>
    <t>2.1.8.01.1.4</t>
  </si>
  <si>
    <t>Gravamen a los movimientos financieros</t>
  </si>
  <si>
    <t>O218015</t>
  </si>
  <si>
    <t>3-01-008-01-05</t>
  </si>
  <si>
    <t>2.1.8.01.5</t>
  </si>
  <si>
    <t>Impuesto al patrimonio</t>
  </si>
  <si>
    <t>O2180151</t>
  </si>
  <si>
    <t>3-01-008-01-05-01-0000-00</t>
  </si>
  <si>
    <t>2.1.8.01.5.001</t>
  </si>
  <si>
    <t>Impuesto sobre vehículos automotores</t>
  </si>
  <si>
    <t>O2180152</t>
  </si>
  <si>
    <t>3-01-008-01-05-02-0000-00</t>
  </si>
  <si>
    <t>2.1.8.01.5.002</t>
  </si>
  <si>
    <t>Impuesto predial unificado</t>
  </si>
  <si>
    <t>O21805</t>
  </si>
  <si>
    <t>3-01-008-05</t>
  </si>
  <si>
    <t>2.1.8.05</t>
  </si>
  <si>
    <t>Multas, sanciones e intereses de mora</t>
  </si>
  <si>
    <t>O2180501</t>
  </si>
  <si>
    <t>3-01-008-05-01</t>
  </si>
  <si>
    <t>2.1.8.05.01</t>
  </si>
  <si>
    <t>Multas y sanciones</t>
  </si>
  <si>
    <t>O2180501002</t>
  </si>
  <si>
    <t>2.1.8.05.01.002</t>
  </si>
  <si>
    <t>Multas judiciales</t>
  </si>
  <si>
    <t>O2180501004</t>
  </si>
  <si>
    <t>3-01-008-05-01-04-0000-00</t>
  </si>
  <si>
    <t>2.1.8.05.01.004</t>
  </si>
  <si>
    <t>Sanciones administrativas</t>
  </si>
  <si>
    <t>3-03</t>
  </si>
  <si>
    <t>Inversión</t>
  </si>
  <si>
    <t>O2301</t>
  </si>
  <si>
    <t>3-03-001</t>
  </si>
  <si>
    <t>2.3.01</t>
  </si>
  <si>
    <t>DIRECTA</t>
  </si>
  <si>
    <t>O230117</t>
  </si>
  <si>
    <t>3-03-001-17</t>
  </si>
  <si>
    <t>2.3.01.17</t>
  </si>
  <si>
    <t>BOGOTÁ CAMINA SEGURA</t>
  </si>
  <si>
    <t>O23011722</t>
  </si>
  <si>
    <t>3-03-001-17-22</t>
  </si>
  <si>
    <t>2.3.01.17.22</t>
  </si>
  <si>
    <t>Objetivo estratégico 03. Bogotá confía en su potencial</t>
  </si>
  <si>
    <t>O2301172202</t>
  </si>
  <si>
    <t>3-03-001-17-22-02-2024</t>
  </si>
  <si>
    <t>2.3.01.17.22.02</t>
  </si>
  <si>
    <t>Programa 17. Formación para el trabajo y acceso a oportunidades educativas</t>
  </si>
  <si>
    <t>O230117220220240256</t>
  </si>
  <si>
    <t>3-03-001-17-22-02-2024-0256</t>
  </si>
  <si>
    <t>2.3.01.17.22.02.20240256</t>
  </si>
  <si>
    <t>Desarrollo y modernización de los procesos relacionados con  gestión institucional de la Universidad Distrital Francisco José De Caldas   Bogotá D.C.</t>
  </si>
  <si>
    <t>O230117220220240257</t>
  </si>
  <si>
    <t>3-03-001-17-22-02-2024-0257</t>
  </si>
  <si>
    <t>2.3.01.17.22.02.20240257</t>
  </si>
  <si>
    <t>Ampliación y Mejoramiento de la infraestructura física de las Sedes de la Universidad Distrital Francisco José de Caldas. Bogotá D.C</t>
  </si>
  <si>
    <t>O230117220220240261</t>
  </si>
  <si>
    <t>3-03-001-17-22-02-2024-0261</t>
  </si>
  <si>
    <t>2.3.01.17.22.02.20240261</t>
  </si>
  <si>
    <t>Fortalecimiento de estrategias para disminuir la tasa de riesgo de deserción, promoción de la  permanencia  y bienestar de los estudiantes de pregrado de la Universidad Distrital  Bogotá D.C</t>
  </si>
  <si>
    <t>O230117220220240279</t>
  </si>
  <si>
    <t>3-03-001-17-22-02-2024-0279</t>
  </si>
  <si>
    <t>2.3.01.17.22.02.20240279</t>
  </si>
  <si>
    <t>Fortalecimiento de las capacidades del sistema de investigaciones frente a los retos de CTEI a nivel regional, nacional e internacional en la UDFJC. Bogotá D.C.</t>
  </si>
  <si>
    <t>O230117220220240280</t>
  </si>
  <si>
    <t>3-03-001-17-22-02-2024-0280</t>
  </si>
  <si>
    <t>2.3.01.17.22.02.20240280</t>
  </si>
  <si>
    <t>Incremento del acceso y el impacto socio-cultural de los resultados de conocimientos generados por los doctorados de la Universidad Francisco José De Caldas Bogotá D.C</t>
  </si>
  <si>
    <t>O230117220220240281</t>
  </si>
  <si>
    <t>3-03-001-17-22-02-2024-0281</t>
  </si>
  <si>
    <t>2.3.01.17.22.02.20240281</t>
  </si>
  <si>
    <t>Fortalecimiento del uso y apropiación de TIC como soporte de propuestas de formación híbridas, virtuales o con incorporación tecnológica en la UD Bogotá D.C</t>
  </si>
  <si>
    <t>O230117220220240282</t>
  </si>
  <si>
    <t>3-03-001-17-22-02-2024-0282</t>
  </si>
  <si>
    <t>2.3.01.17.22.02.20240282</t>
  </si>
  <si>
    <t>Fortalecimiento de la capacidad para la prestación del servicio en las Unidades Académicas de Laboratorio en la docencia, investigación, extensión y proyección social de la UDFC. Bogotá D.C.</t>
  </si>
  <si>
    <t>O230117220220240283</t>
  </si>
  <si>
    <t>3-03-001-17-22-02-2024-0283</t>
  </si>
  <si>
    <t>2.3.01.17.22.02.20240283</t>
  </si>
  <si>
    <t>Fortalecimiento de los componentes tecnológicos para lograr la Transformación Digital en la institución, especialmente en los procesos respaldados por las áreas de tecnología. Bogotá D.C</t>
  </si>
  <si>
    <t>O230117220220240284</t>
  </si>
  <si>
    <t>3-03-001-17-22-02-2024-0284</t>
  </si>
  <si>
    <t>2.3.01.17.22.02.20240284</t>
  </si>
  <si>
    <t>Fortalecimiento de las líneas de servicios CRAI que conforman el portafolio de servicios y recursos de las bibliotecas y unidades de información de la UDFJC, Bogotá DC</t>
  </si>
  <si>
    <t>O233</t>
  </si>
  <si>
    <t>3-03-003</t>
  </si>
  <si>
    <t>2.3.3</t>
  </si>
  <si>
    <t>TRANSFERENCIAS CORRIENTES</t>
  </si>
  <si>
    <t>O23305</t>
  </si>
  <si>
    <t>3-03-003-05</t>
  </si>
  <si>
    <t>2.3.3.05</t>
  </si>
  <si>
    <t>A ENTIDADES DEL GOBIERNO</t>
  </si>
  <si>
    <t>O2330509</t>
  </si>
  <si>
    <t>3-03-003-05-09</t>
  </si>
  <si>
    <t>2.3.3.05.09</t>
  </si>
  <si>
    <t>A OTRAS ENTIDADES DEL GOBIERNO GENERAL</t>
  </si>
  <si>
    <t>O2330509054</t>
  </si>
  <si>
    <t>3-03-003-05-09-54</t>
  </si>
  <si>
    <t>2.3.3.05.09.054</t>
  </si>
  <si>
    <t>A ESTABLECIMIENTOS PUBLICOS Y UNIDADES ADMINISTRATIVAS ESPECIALES</t>
  </si>
  <si>
    <t>O233050905422</t>
  </si>
  <si>
    <t>3-03-003-05-09-54-0022</t>
  </si>
  <si>
    <t>2.3.3.05.09.054.22</t>
  </si>
  <si>
    <t>OTROS ORGANISMOS</t>
  </si>
  <si>
    <t>O23305090542205</t>
  </si>
  <si>
    <t>2.3.3.05.09.054.22.05</t>
  </si>
  <si>
    <t>FONDO PRÉSTAMOS A EMPLEADOS (Universidad Distrital)</t>
  </si>
  <si>
    <t>3-03-003-05-09-54-0022-01</t>
  </si>
  <si>
    <t>2.3.3.05.09.054.22.05.1</t>
  </si>
  <si>
    <t>Préstamos Ordinarios Administrativos</t>
  </si>
  <si>
    <t>O23305090542206</t>
  </si>
  <si>
    <t>2.3.3.05.09.054.22.06</t>
  </si>
  <si>
    <t>FONDO DE VIVIENDA (Universidad Distrital)</t>
  </si>
  <si>
    <t>3-03-003-05-09-54-0022-02</t>
  </si>
  <si>
    <t>2.3.3.05.09.054.22.06.1</t>
  </si>
  <si>
    <t>Vivienda Administrativos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</si>
</sst>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  <numFmt numFmtId="167" formatCode="_-* #,##0_-;\-* #,##0_-;_-* &quot;-&quot;??_-;_-@_-"/>
    <numFmt numFmtId="168" formatCode="_-* #,##0.00_-;\-* #,##0.00_-;_-* &quot;-&quot;_-;_-@_-"/>
    <numFmt numFmtId="169" formatCode="0.0%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mbria"/>
      <family val="1"/>
    </font>
    <font>
      <sz val="9"/>
      <name val="Arial"/>
      <family val="2"/>
    </font>
    <font>
      <b/>
      <sz val="9"/>
      <name val="Arial"/>
      <family val="2"/>
    </font>
    <font>
      <b/>
      <i/>
      <sz val="10"/>
      <color theme="1"/>
      <name val="Cambria"/>
      <family val="1"/>
    </font>
    <font>
      <b/>
      <sz val="14"/>
      <color theme="1"/>
      <name val="Arial"/>
      <family val="2"/>
    </font>
    <font>
      <b/>
      <i/>
      <sz val="14"/>
      <color theme="1"/>
      <name val="Arial"/>
      <family val="2"/>
    </font>
    <font>
      <b/>
      <sz val="9"/>
      <color theme="1"/>
      <name val="Arial"/>
      <family val="2"/>
    </font>
    <font>
      <b/>
      <u val="singleAccounting"/>
      <sz val="9"/>
      <color theme="1"/>
      <name val="Arial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rgb="FF000000"/>
      <name val="Arial"/>
      <family val="2"/>
    </font>
    <font>
      <b/>
      <sz val="9"/>
      <color theme="8" tint="-0.499984740745262"/>
      <name val="Arial"/>
      <family val="2"/>
    </font>
    <font>
      <sz val="9"/>
      <color rgb="FF002D86"/>
      <name val="Arial"/>
      <family val="2"/>
    </font>
    <font>
      <sz val="9"/>
      <color theme="0"/>
      <name val="Arial"/>
      <family val="2"/>
    </font>
    <font>
      <b/>
      <sz val="9"/>
      <color rgb="FF1F4E78"/>
      <name val="Arial"/>
      <family val="2"/>
    </font>
    <font>
      <sz val="9"/>
      <color theme="3" tint="-0.499984740745262"/>
      <name val="Arial"/>
      <family val="2"/>
    </font>
    <font>
      <sz val="10"/>
      <name val="Courier"/>
      <family val="3"/>
    </font>
    <font>
      <b/>
      <sz val="9"/>
      <color rgb="FF6600CC"/>
      <name val="Arial"/>
      <family val="2"/>
    </font>
    <font>
      <b/>
      <sz val="9"/>
      <color rgb="FFFFFFFF"/>
      <name val="Arial"/>
      <family val="2"/>
    </font>
    <font>
      <sz val="9"/>
      <color theme="3" tint="-0.499984740745262"/>
      <name val="Arial"/>
    </font>
    <font>
      <b/>
      <sz val="9"/>
      <name val="Arial"/>
    </font>
    <font>
      <sz val="9"/>
      <color rgb="FF222B35"/>
      <name val="Arial"/>
      <family val="2"/>
    </font>
    <font>
      <sz val="9"/>
      <color rgb="FFFFFFFF"/>
      <name val="Arial"/>
      <family val="2"/>
    </font>
    <font>
      <b/>
      <sz val="9"/>
      <color theme="0"/>
      <name val="Arial"/>
    </font>
    <font>
      <b/>
      <sz val="9"/>
      <color rgb="FF000000"/>
      <name val="Arial"/>
    </font>
    <font>
      <b/>
      <sz val="9"/>
      <color theme="8" tint="-0.499984740745262"/>
      <name val="Arial"/>
    </font>
    <font>
      <sz val="9"/>
      <color rgb="FF002D86"/>
      <name val="Arial"/>
    </font>
    <font>
      <b/>
      <sz val="9"/>
      <color rgb="FF6600CC"/>
      <name val="Arial"/>
    </font>
    <font>
      <b/>
      <sz val="9"/>
      <color rgb="FFFFFFFF"/>
      <name val="Arial"/>
    </font>
    <font>
      <b/>
      <sz val="9"/>
      <color theme="1"/>
      <name val="Arial"/>
    </font>
    <font>
      <sz val="9"/>
      <color rgb="FF000000"/>
      <name val="Arial"/>
    </font>
    <font>
      <sz val="9"/>
      <color theme="0"/>
      <name val="Arial"/>
    </font>
  </fonts>
  <fills count="64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39933"/>
        <bgColor indexed="64"/>
      </patternFill>
    </fill>
    <fill>
      <patternFill patternType="solid">
        <fgColor rgb="FF2C6EA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EA5F00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009999"/>
        <bgColor indexed="64"/>
      </patternFill>
    </fill>
    <fill>
      <patternFill patternType="solid">
        <fgColor rgb="FFFFB1FF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rgb="FF9900FF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8409"/>
        <bgColor indexed="64"/>
      </patternFill>
    </fill>
    <fill>
      <patternFill patternType="solid">
        <fgColor rgb="FFFF3300"/>
        <bgColor indexed="64"/>
      </patternFill>
    </fill>
    <fill>
      <patternFill patternType="solid">
        <fgColor rgb="FF4D4D4D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9933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339933"/>
        <bgColor rgb="FF000000"/>
      </patternFill>
    </fill>
    <fill>
      <patternFill patternType="solid">
        <fgColor rgb="FF4D4D4D"/>
        <bgColor rgb="FF000000"/>
      </patternFill>
    </fill>
    <fill>
      <patternFill patternType="solid">
        <fgColor rgb="FFEA5F00"/>
        <bgColor rgb="FF000000"/>
      </patternFill>
    </fill>
    <fill>
      <patternFill patternType="solid">
        <fgColor rgb="FFFFCC00"/>
        <bgColor rgb="FF000000"/>
      </patternFill>
    </fill>
    <fill>
      <patternFill patternType="solid">
        <fgColor rgb="FF203764"/>
        <bgColor rgb="FF000000"/>
      </patternFill>
    </fill>
    <fill>
      <patternFill patternType="solid">
        <fgColor rgb="FFFFFF66"/>
        <bgColor rgb="FF000000"/>
      </patternFill>
    </fill>
    <fill>
      <patternFill patternType="solid">
        <fgColor rgb="FF2C6EAA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2F75B5"/>
        <bgColor rgb="FF000000"/>
      </patternFill>
    </fill>
    <fill>
      <patternFill patternType="solid">
        <fgColor rgb="FFFF9966"/>
        <bgColor rgb="FF000000"/>
      </patternFill>
    </fill>
    <fill>
      <patternFill patternType="solid">
        <fgColor rgb="FF99FF99"/>
        <bgColor rgb="FF000000"/>
      </patternFill>
    </fill>
    <fill>
      <patternFill patternType="solid">
        <fgColor rgb="FF009999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FFB1FF"/>
        <bgColor rgb="FF000000"/>
      </patternFill>
    </fill>
    <fill>
      <patternFill patternType="solid">
        <fgColor rgb="FF99CC00"/>
        <bgColor rgb="FF000000"/>
      </patternFill>
    </fill>
    <fill>
      <patternFill patternType="solid">
        <fgColor rgb="FFCCFF33"/>
        <bgColor rgb="FF000000"/>
      </patternFill>
    </fill>
    <fill>
      <patternFill patternType="solid">
        <fgColor rgb="FF9900FF"/>
        <bgColor rgb="FF000000"/>
      </patternFill>
    </fill>
    <fill>
      <patternFill patternType="solid">
        <fgColor rgb="FFCC66FF"/>
        <bgColor rgb="FF000000"/>
      </patternFill>
    </fill>
    <fill>
      <patternFill patternType="solid">
        <fgColor rgb="FFFFCCFF"/>
        <bgColor rgb="FF000000"/>
      </patternFill>
    </fill>
    <fill>
      <patternFill patternType="solid">
        <fgColor rgb="FF9966FF"/>
        <bgColor rgb="FF000000"/>
      </patternFill>
    </fill>
    <fill>
      <patternFill patternType="solid">
        <fgColor rgb="FFCC0000"/>
        <bgColor rgb="FF000000"/>
      </patternFill>
    </fill>
    <fill>
      <patternFill patternType="solid">
        <fgColor rgb="FFFF9933"/>
        <bgColor rgb="FF000000"/>
      </patternFill>
    </fill>
    <fill>
      <patternFill patternType="solid">
        <fgColor rgb="FFFF8409"/>
        <bgColor rgb="FF000000"/>
      </patternFill>
    </fill>
    <fill>
      <patternFill patternType="solid">
        <fgColor rgb="FF993300"/>
        <bgColor rgb="FF000000"/>
      </patternFill>
    </fill>
    <fill>
      <patternFill patternType="solid">
        <fgColor rgb="FFFFCC66"/>
        <bgColor rgb="FF000000"/>
      </patternFill>
    </fill>
    <fill>
      <patternFill patternType="solid">
        <fgColor rgb="FFFF3300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theme="4" tint="-0.499984740745262"/>
      </left>
      <right/>
      <top style="medium">
        <color theme="4" tint="-0.499984740745262"/>
      </top>
      <bottom style="thin">
        <color indexed="64"/>
      </bottom>
      <diagonal/>
    </border>
    <border>
      <left/>
      <right/>
      <top style="medium">
        <color theme="4" tint="-0.499984740745262"/>
      </top>
      <bottom style="thin">
        <color indexed="64"/>
      </bottom>
      <diagonal/>
    </border>
    <border>
      <left/>
      <right style="medium">
        <color theme="4" tint="-0.499984740745262"/>
      </right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thin">
        <color indexed="64"/>
      </right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theme="4" tint="-0.499984740745262"/>
      </bottom>
      <diagonal/>
    </border>
    <border>
      <left style="thin">
        <color indexed="64"/>
      </left>
      <right style="medium">
        <color theme="4" tint="-0.499984740745262"/>
      </right>
      <top style="thin">
        <color indexed="64"/>
      </top>
      <bottom style="medium">
        <color theme="4" tint="-0.499984740745262"/>
      </bottom>
      <diagonal/>
    </border>
    <border>
      <left style="medium">
        <color theme="4" tint="-0.499984740745262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4" tint="-0.499984740745262"/>
      </top>
      <bottom style="thin">
        <color indexed="64"/>
      </bottom>
      <diagonal/>
    </border>
    <border>
      <left style="thin">
        <color indexed="64"/>
      </left>
      <right style="medium">
        <color theme="4" tint="-0.499984740745262"/>
      </right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thin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4" tint="-0.499984740745262"/>
      </left>
      <right style="medium">
        <color theme="4" tint="-0.499984740745262"/>
      </right>
      <top style="thin">
        <color indexed="64"/>
      </top>
      <bottom style="medium">
        <color theme="4" tint="-0.499984740745262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/>
      <diagonal/>
    </border>
    <border>
      <left style="medium">
        <color theme="4" tint="-0.499984740745262"/>
      </left>
      <right/>
      <top/>
      <bottom/>
      <diagonal/>
    </border>
    <border>
      <left style="medium">
        <color theme="4" tint="-0.499984740745262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41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37" fontId="20" fillId="0" borderId="0"/>
    <xf numFmtId="9" fontId="1" fillId="0" borderId="0" applyFont="0" applyFill="0" applyBorder="0" applyAlignment="0" applyProtection="0"/>
  </cellStyleXfs>
  <cellXfs count="406">
    <xf numFmtId="0" fontId="0" fillId="0" borderId="0" xfId="0"/>
    <xf numFmtId="1" fontId="2" fillId="0" borderId="0" xfId="0" applyNumberFormat="1" applyFont="1"/>
    <xf numFmtId="41" fontId="3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41" fontId="10" fillId="3" borderId="1" xfId="13" applyFont="1" applyFill="1" applyBorder="1" applyAlignment="1"/>
    <xf numFmtId="41" fontId="13" fillId="8" borderId="1" xfId="1" applyFont="1" applyFill="1" applyBorder="1" applyAlignment="1" applyProtection="1">
      <alignment vertical="center"/>
    </xf>
    <xf numFmtId="41" fontId="13" fillId="11" borderId="1" xfId="1" applyFont="1" applyFill="1" applyBorder="1" applyAlignment="1" applyProtection="1">
      <alignment vertical="center"/>
    </xf>
    <xf numFmtId="41" fontId="13" fillId="12" borderId="1" xfId="1" applyFont="1" applyFill="1" applyBorder="1" applyAlignment="1" applyProtection="1">
      <alignment vertical="center"/>
    </xf>
    <xf numFmtId="41" fontId="16" fillId="10" borderId="1" xfId="1" applyFont="1" applyFill="1" applyBorder="1" applyAlignment="1" applyProtection="1">
      <alignment vertical="center"/>
    </xf>
    <xf numFmtId="0" fontId="16" fillId="13" borderId="1" xfId="2" applyFont="1" applyFill="1" applyBorder="1" applyAlignment="1" applyProtection="1">
      <alignment horizontal="left" vertical="center"/>
      <protection locked="0"/>
    </xf>
    <xf numFmtId="49" fontId="16" fillId="13" borderId="1" xfId="0" applyNumberFormat="1" applyFont="1" applyFill="1" applyBorder="1" applyAlignment="1" applyProtection="1">
      <alignment vertical="center"/>
      <protection locked="0"/>
    </xf>
    <xf numFmtId="49" fontId="13" fillId="12" borderId="1" xfId="0" applyNumberFormat="1" applyFont="1" applyFill="1" applyBorder="1" applyAlignment="1" applyProtection="1">
      <alignment vertical="center"/>
      <protection locked="0"/>
    </xf>
    <xf numFmtId="0" fontId="13" fillId="12" borderId="1" xfId="2" applyFont="1" applyFill="1" applyBorder="1" applyAlignment="1" applyProtection="1">
      <alignment horizontal="left" vertical="center"/>
      <protection locked="0"/>
    </xf>
    <xf numFmtId="167" fontId="13" fillId="12" borderId="1" xfId="12" applyNumberFormat="1" applyFont="1" applyFill="1" applyBorder="1" applyAlignment="1" applyProtection="1">
      <alignment vertical="center"/>
      <protection locked="0"/>
    </xf>
    <xf numFmtId="2" fontId="16" fillId="13" borderId="1" xfId="0" applyNumberFormat="1" applyFont="1" applyFill="1" applyBorder="1" applyAlignment="1" applyProtection="1">
      <alignment vertical="center"/>
      <protection locked="0"/>
    </xf>
    <xf numFmtId="41" fontId="16" fillId="13" borderId="1" xfId="1" applyFont="1" applyFill="1" applyBorder="1" applyAlignment="1" applyProtection="1">
      <alignment vertical="center"/>
    </xf>
    <xf numFmtId="2" fontId="13" fillId="12" borderId="1" xfId="0" applyNumberFormat="1" applyFont="1" applyFill="1" applyBorder="1" applyAlignment="1" applyProtection="1">
      <alignment vertical="center"/>
      <protection locked="0"/>
    </xf>
    <xf numFmtId="1" fontId="7" fillId="0" borderId="0" xfId="0" applyNumberFormat="1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49" fontId="13" fillId="11" borderId="1" xfId="0" applyNumberFormat="1" applyFont="1" applyFill="1" applyBorder="1" applyAlignment="1">
      <alignment vertical="center"/>
    </xf>
    <xf numFmtId="0" fontId="18" fillId="7" borderId="1" xfId="2" applyFont="1" applyFill="1" applyBorder="1" applyAlignment="1" applyProtection="1">
      <alignment horizontal="left" vertical="center"/>
      <protection locked="0"/>
    </xf>
    <xf numFmtId="49" fontId="13" fillId="12" borderId="1" xfId="0" applyNumberFormat="1" applyFont="1" applyFill="1" applyBorder="1" applyAlignment="1">
      <alignment vertical="center"/>
    </xf>
    <xf numFmtId="0" fontId="16" fillId="13" borderId="1" xfId="0" applyFont="1" applyFill="1" applyBorder="1" applyProtection="1">
      <protection locked="0"/>
    </xf>
    <xf numFmtId="49" fontId="16" fillId="13" borderId="1" xfId="0" applyNumberFormat="1" applyFont="1" applyFill="1" applyBorder="1" applyAlignment="1">
      <alignment vertical="center"/>
    </xf>
    <xf numFmtId="1" fontId="13" fillId="12" borderId="1" xfId="1" applyNumberFormat="1" applyFont="1" applyFill="1" applyBorder="1" applyAlignment="1" applyProtection="1">
      <alignment horizontal="center" vertical="center"/>
    </xf>
    <xf numFmtId="1" fontId="16" fillId="13" borderId="1" xfId="0" applyNumberFormat="1" applyFont="1" applyFill="1" applyBorder="1" applyAlignment="1" applyProtection="1">
      <alignment horizontal="center" vertical="center"/>
      <protection locked="0"/>
    </xf>
    <xf numFmtId="1" fontId="16" fillId="13" borderId="1" xfId="0" applyNumberFormat="1" applyFont="1" applyFill="1" applyBorder="1" applyAlignment="1">
      <alignment horizontal="center"/>
    </xf>
    <xf numFmtId="0" fontId="13" fillId="15" borderId="1" xfId="2" applyFont="1" applyFill="1" applyBorder="1" applyAlignment="1" applyProtection="1">
      <alignment horizontal="left" vertical="center"/>
      <protection locked="0"/>
    </xf>
    <xf numFmtId="1" fontId="19" fillId="17" borderId="1" xfId="0" applyNumberFormat="1" applyFont="1" applyFill="1" applyBorder="1" applyAlignment="1" applyProtection="1">
      <alignment horizontal="center" vertical="center"/>
      <protection locked="0"/>
    </xf>
    <xf numFmtId="0" fontId="19" fillId="17" borderId="1" xfId="2" applyFont="1" applyFill="1" applyBorder="1" applyAlignment="1" applyProtection="1">
      <alignment horizontal="left" vertical="center"/>
      <protection locked="0"/>
    </xf>
    <xf numFmtId="41" fontId="19" fillId="17" borderId="1" xfId="1" applyFont="1" applyFill="1" applyBorder="1" applyAlignment="1" applyProtection="1">
      <alignment vertical="center"/>
    </xf>
    <xf numFmtId="1" fontId="4" fillId="18" borderId="1" xfId="1" applyNumberFormat="1" applyFont="1" applyFill="1" applyBorder="1" applyAlignment="1" applyProtection="1">
      <alignment horizontal="center" vertical="center"/>
    </xf>
    <xf numFmtId="49" fontId="4" fillId="18" borderId="1" xfId="0" applyNumberFormat="1" applyFont="1" applyFill="1" applyBorder="1" applyAlignment="1" applyProtection="1">
      <alignment vertical="center"/>
      <protection locked="0"/>
    </xf>
    <xf numFmtId="49" fontId="13" fillId="19" borderId="1" xfId="0" applyNumberFormat="1" applyFont="1" applyFill="1" applyBorder="1" applyAlignment="1">
      <alignment vertical="center"/>
    </xf>
    <xf numFmtId="41" fontId="13" fillId="19" borderId="1" xfId="1" applyFont="1" applyFill="1" applyBorder="1" applyAlignment="1" applyProtection="1">
      <alignment vertical="center"/>
    </xf>
    <xf numFmtId="49" fontId="4" fillId="14" borderId="1" xfId="0" applyNumberFormat="1" applyFont="1" applyFill="1" applyBorder="1" applyAlignment="1">
      <alignment vertical="center"/>
    </xf>
    <xf numFmtId="41" fontId="4" fillId="14" borderId="1" xfId="1" applyFont="1" applyFill="1" applyBorder="1" applyAlignment="1" applyProtection="1">
      <alignment vertical="center"/>
    </xf>
    <xf numFmtId="0" fontId="4" fillId="20" borderId="1" xfId="2" applyFont="1" applyFill="1" applyBorder="1" applyAlignment="1" applyProtection="1">
      <alignment horizontal="left" vertical="center"/>
      <protection locked="0"/>
    </xf>
    <xf numFmtId="1" fontId="4" fillId="21" borderId="1" xfId="1" applyNumberFormat="1" applyFont="1" applyFill="1" applyBorder="1" applyAlignment="1" applyProtection="1">
      <alignment horizontal="center" vertical="center"/>
    </xf>
    <xf numFmtId="49" fontId="4" fillId="21" borderId="1" xfId="0" applyNumberFormat="1" applyFont="1" applyFill="1" applyBorder="1" applyAlignment="1" applyProtection="1">
      <alignment vertical="center"/>
      <protection locked="0"/>
    </xf>
    <xf numFmtId="1" fontId="4" fillId="22" borderId="1" xfId="1" applyNumberFormat="1" applyFont="1" applyFill="1" applyBorder="1" applyAlignment="1" applyProtection="1">
      <alignment horizontal="center" vertical="center"/>
    </xf>
    <xf numFmtId="49" fontId="4" fillId="22" borderId="1" xfId="0" applyNumberFormat="1" applyFont="1" applyFill="1" applyBorder="1" applyAlignment="1" applyProtection="1">
      <alignment vertical="center"/>
      <protection locked="0"/>
    </xf>
    <xf numFmtId="0" fontId="13" fillId="23" borderId="1" xfId="2" applyFont="1" applyFill="1" applyBorder="1" applyAlignment="1" applyProtection="1">
      <alignment horizontal="left" vertical="center"/>
      <protection locked="0"/>
    </xf>
    <xf numFmtId="49" fontId="13" fillId="23" borderId="1" xfId="0" applyNumberFormat="1" applyFont="1" applyFill="1" applyBorder="1" applyAlignment="1" applyProtection="1">
      <alignment vertical="center"/>
      <protection locked="0"/>
    </xf>
    <xf numFmtId="1" fontId="13" fillId="24" borderId="1" xfId="1" applyNumberFormat="1" applyFont="1" applyFill="1" applyBorder="1" applyAlignment="1" applyProtection="1">
      <alignment horizontal="center" vertical="center"/>
    </xf>
    <xf numFmtId="49" fontId="13" fillId="24" borderId="1" xfId="0" applyNumberFormat="1" applyFont="1" applyFill="1" applyBorder="1" applyAlignment="1" applyProtection="1">
      <alignment vertical="center"/>
      <protection locked="0"/>
    </xf>
    <xf numFmtId="1" fontId="14" fillId="28" borderId="1" xfId="0" applyNumberFormat="1" applyFont="1" applyFill="1" applyBorder="1" applyAlignment="1">
      <alignment horizontal="left"/>
    </xf>
    <xf numFmtId="1" fontId="14" fillId="6" borderId="1" xfId="0" applyNumberFormat="1" applyFont="1" applyFill="1" applyBorder="1" applyAlignment="1">
      <alignment horizontal="left"/>
    </xf>
    <xf numFmtId="41" fontId="10" fillId="4" borderId="2" xfId="13" applyFont="1" applyFill="1" applyBorder="1" applyAlignment="1"/>
    <xf numFmtId="41" fontId="10" fillId="4" borderId="2" xfId="13" applyFont="1" applyFill="1" applyBorder="1"/>
    <xf numFmtId="0" fontId="13" fillId="31" borderId="1" xfId="2" applyFont="1" applyFill="1" applyBorder="1" applyAlignment="1" applyProtection="1">
      <alignment horizontal="left" vertical="center"/>
      <protection locked="0"/>
    </xf>
    <xf numFmtId="1" fontId="21" fillId="2" borderId="1" xfId="1" applyNumberFormat="1" applyFont="1" applyFill="1" applyBorder="1" applyAlignment="1" applyProtection="1">
      <alignment horizontal="center" vertical="center"/>
    </xf>
    <xf numFmtId="49" fontId="21" fillId="2" borderId="1" xfId="0" applyNumberFormat="1" applyFont="1" applyFill="1" applyBorder="1" applyAlignment="1" applyProtection="1">
      <alignment vertical="center"/>
      <protection locked="0"/>
    </xf>
    <xf numFmtId="2" fontId="7" fillId="0" borderId="0" xfId="0" applyNumberFormat="1" applyFont="1" applyAlignment="1">
      <alignment horizontal="center" vertical="center"/>
    </xf>
    <xf numFmtId="41" fontId="8" fillId="0" borderId="0" xfId="13" applyFont="1" applyAlignment="1">
      <alignment vertical="center"/>
    </xf>
    <xf numFmtId="2" fontId="8" fillId="0" borderId="0" xfId="13" applyNumberFormat="1" applyFont="1" applyAlignment="1">
      <alignment vertical="center"/>
    </xf>
    <xf numFmtId="1" fontId="9" fillId="0" borderId="0" xfId="13" applyNumberFormat="1" applyFont="1" applyAlignment="1">
      <alignment horizontal="left"/>
    </xf>
    <xf numFmtId="49" fontId="4" fillId="5" borderId="1" xfId="0" applyNumberFormat="1" applyFont="1" applyFill="1" applyBorder="1" applyAlignment="1">
      <alignment vertical="center"/>
    </xf>
    <xf numFmtId="1" fontId="4" fillId="5" borderId="1" xfId="0" applyNumberFormat="1" applyFont="1" applyFill="1" applyBorder="1" applyAlignment="1">
      <alignment horizontal="left" vertical="center"/>
    </xf>
    <xf numFmtId="2" fontId="13" fillId="11" borderId="1" xfId="0" applyNumberFormat="1" applyFont="1" applyFill="1" applyBorder="1" applyAlignment="1">
      <alignment vertical="center"/>
    </xf>
    <xf numFmtId="1" fontId="13" fillId="11" borderId="1" xfId="0" applyNumberFormat="1" applyFont="1" applyFill="1" applyBorder="1" applyAlignment="1">
      <alignment horizontal="center" vertical="center"/>
    </xf>
    <xf numFmtId="49" fontId="13" fillId="30" borderId="1" xfId="0" applyNumberFormat="1" applyFont="1" applyFill="1" applyBorder="1" applyAlignment="1">
      <alignment vertical="center"/>
    </xf>
    <xf numFmtId="167" fontId="13" fillId="30" borderId="1" xfId="12" applyNumberFormat="1" applyFont="1" applyFill="1" applyBorder="1" applyAlignment="1">
      <alignment vertical="center"/>
    </xf>
    <xf numFmtId="49" fontId="13" fillId="16" borderId="1" xfId="0" applyNumberFormat="1" applyFont="1" applyFill="1" applyBorder="1"/>
    <xf numFmtId="167" fontId="13" fillId="16" borderId="1" xfId="12" applyNumberFormat="1" applyFont="1" applyFill="1" applyBorder="1" applyAlignment="1"/>
    <xf numFmtId="49" fontId="4" fillId="6" borderId="1" xfId="0" applyNumberFormat="1" applyFont="1" applyFill="1" applyBorder="1" applyAlignment="1">
      <alignment vertical="center"/>
    </xf>
    <xf numFmtId="167" fontId="4" fillId="6" borderId="1" xfId="12" applyNumberFormat="1" applyFont="1" applyFill="1" applyBorder="1" applyAlignment="1">
      <alignment vertical="center"/>
    </xf>
    <xf numFmtId="43" fontId="13" fillId="15" borderId="1" xfId="12" applyFont="1" applyFill="1" applyBorder="1" applyAlignment="1">
      <alignment horizontal="left" vertical="center"/>
    </xf>
    <xf numFmtId="2" fontId="13" fillId="15" borderId="1" xfId="12" applyNumberFormat="1" applyFont="1" applyFill="1" applyBorder="1" applyAlignment="1">
      <alignment horizontal="left" vertical="center"/>
    </xf>
    <xf numFmtId="49" fontId="13" fillId="15" borderId="1" xfId="0" applyNumberFormat="1" applyFont="1" applyFill="1" applyBorder="1" applyAlignment="1" applyProtection="1">
      <alignment vertical="center"/>
      <protection locked="0"/>
    </xf>
    <xf numFmtId="1" fontId="13" fillId="15" borderId="1" xfId="12" applyNumberFormat="1" applyFont="1" applyFill="1" applyBorder="1" applyAlignment="1">
      <alignment horizontal="center" vertical="center"/>
    </xf>
    <xf numFmtId="167" fontId="13" fillId="15" borderId="1" xfId="12" applyNumberFormat="1" applyFont="1" applyFill="1" applyBorder="1" applyAlignment="1">
      <alignment vertical="center"/>
    </xf>
    <xf numFmtId="43" fontId="15" fillId="7" borderId="1" xfId="12" applyFont="1" applyFill="1" applyBorder="1" applyAlignment="1">
      <alignment horizontal="left" vertical="center"/>
    </xf>
    <xf numFmtId="2" fontId="15" fillId="7" borderId="1" xfId="12" applyNumberFormat="1" applyFont="1" applyFill="1" applyBorder="1" applyAlignment="1">
      <alignment horizontal="left" vertical="center"/>
    </xf>
    <xf numFmtId="49" fontId="18" fillId="7" borderId="1" xfId="0" applyNumberFormat="1" applyFont="1" applyFill="1" applyBorder="1" applyAlignment="1" applyProtection="1">
      <alignment vertical="center"/>
      <protection locked="0"/>
    </xf>
    <xf numFmtId="1" fontId="15" fillId="7" borderId="1" xfId="12" applyNumberFormat="1" applyFont="1" applyFill="1" applyBorder="1" applyAlignment="1">
      <alignment horizontal="center" vertical="center"/>
    </xf>
    <xf numFmtId="167" fontId="15" fillId="7" borderId="1" xfId="12" applyNumberFormat="1" applyFont="1" applyFill="1" applyBorder="1" applyAlignment="1">
      <alignment vertical="center"/>
    </xf>
    <xf numFmtId="2" fontId="13" fillId="12" borderId="1" xfId="0" applyNumberFormat="1" applyFont="1" applyFill="1" applyBorder="1" applyAlignment="1">
      <alignment vertical="center"/>
    </xf>
    <xf numFmtId="1" fontId="13" fillId="12" borderId="1" xfId="0" applyNumberFormat="1" applyFont="1" applyFill="1" applyBorder="1" applyAlignment="1">
      <alignment horizontal="center" vertical="center"/>
    </xf>
    <xf numFmtId="166" fontId="19" fillId="17" borderId="1" xfId="8" applyNumberFormat="1" applyFont="1" applyFill="1" applyBorder="1" applyAlignment="1" applyProtection="1">
      <alignment horizontal="left" vertical="center"/>
      <protection locked="0"/>
    </xf>
    <xf numFmtId="2" fontId="19" fillId="17" borderId="1" xfId="8" applyNumberFormat="1" applyFont="1" applyFill="1" applyBorder="1" applyAlignment="1" applyProtection="1">
      <alignment horizontal="left" vertical="center"/>
      <protection locked="0"/>
    </xf>
    <xf numFmtId="2" fontId="4" fillId="18" borderId="1" xfId="0" applyNumberFormat="1" applyFont="1" applyFill="1" applyBorder="1" applyAlignment="1" applyProtection="1">
      <alignment vertical="center"/>
      <protection locked="0"/>
    </xf>
    <xf numFmtId="0" fontId="4" fillId="18" borderId="1" xfId="2" applyFont="1" applyFill="1" applyBorder="1" applyAlignment="1" applyProtection="1">
      <alignment horizontal="left" vertical="center"/>
      <protection locked="0"/>
    </xf>
    <xf numFmtId="167" fontId="4" fillId="18" borderId="1" xfId="12" applyNumberFormat="1" applyFont="1" applyFill="1" applyBorder="1" applyAlignment="1" applyProtection="1">
      <alignment vertical="center"/>
      <protection locked="0"/>
    </xf>
    <xf numFmtId="2" fontId="13" fillId="19" borderId="1" xfId="0" applyNumberFormat="1" applyFont="1" applyFill="1" applyBorder="1" applyAlignment="1">
      <alignment vertical="center"/>
    </xf>
    <xf numFmtId="1" fontId="13" fillId="19" borderId="1" xfId="0" applyNumberFormat="1" applyFont="1" applyFill="1" applyBorder="1" applyAlignment="1">
      <alignment horizontal="center" vertical="center"/>
    </xf>
    <xf numFmtId="49" fontId="4" fillId="14" borderId="1" xfId="0" applyNumberFormat="1" applyFont="1" applyFill="1" applyBorder="1"/>
    <xf numFmtId="2" fontId="4" fillId="14" borderId="1" xfId="0" applyNumberFormat="1" applyFont="1" applyFill="1" applyBorder="1" applyAlignment="1">
      <alignment vertical="center"/>
    </xf>
    <xf numFmtId="1" fontId="4" fillId="14" borderId="1" xfId="0" applyNumberFormat="1" applyFont="1" applyFill="1" applyBorder="1" applyAlignment="1">
      <alignment horizontal="center" vertical="center"/>
    </xf>
    <xf numFmtId="43" fontId="4" fillId="20" borderId="1" xfId="12" applyFont="1" applyFill="1" applyBorder="1" applyAlignment="1"/>
    <xf numFmtId="2" fontId="4" fillId="20" borderId="1" xfId="12" applyNumberFormat="1" applyFont="1" applyFill="1" applyBorder="1" applyAlignment="1">
      <alignment horizontal="left" vertical="center"/>
    </xf>
    <xf numFmtId="49" fontId="4" fillId="20" borderId="1" xfId="0" applyNumberFormat="1" applyFont="1" applyFill="1" applyBorder="1" applyAlignment="1" applyProtection="1">
      <alignment vertical="center"/>
      <protection locked="0"/>
    </xf>
    <xf numFmtId="1" fontId="4" fillId="20" borderId="1" xfId="12" applyNumberFormat="1" applyFont="1" applyFill="1" applyBorder="1" applyAlignment="1">
      <alignment horizontal="center" vertical="center"/>
    </xf>
    <xf numFmtId="167" fontId="4" fillId="20" borderId="1" xfId="12" applyNumberFormat="1" applyFont="1" applyFill="1" applyBorder="1" applyAlignment="1">
      <alignment vertical="center"/>
    </xf>
    <xf numFmtId="49" fontId="13" fillId="12" borderId="1" xfId="0" applyNumberFormat="1" applyFont="1" applyFill="1" applyBorder="1" applyProtection="1">
      <protection locked="0"/>
    </xf>
    <xf numFmtId="2" fontId="4" fillId="21" borderId="1" xfId="0" applyNumberFormat="1" applyFont="1" applyFill="1" applyBorder="1" applyAlignment="1" applyProtection="1">
      <alignment vertical="center"/>
      <protection locked="0"/>
    </xf>
    <xf numFmtId="0" fontId="4" fillId="21" borderId="1" xfId="2" applyFont="1" applyFill="1" applyBorder="1" applyAlignment="1" applyProtection="1">
      <alignment horizontal="left" vertical="center"/>
      <protection locked="0"/>
    </xf>
    <xf numFmtId="167" fontId="4" fillId="21" borderId="1" xfId="12" applyNumberFormat="1" applyFont="1" applyFill="1" applyBorder="1" applyAlignment="1" applyProtection="1">
      <alignment vertical="center"/>
      <protection locked="0"/>
    </xf>
    <xf numFmtId="2" fontId="4" fillId="22" borderId="1" xfId="0" applyNumberFormat="1" applyFont="1" applyFill="1" applyBorder="1" applyAlignment="1" applyProtection="1">
      <alignment vertical="center"/>
      <protection locked="0"/>
    </xf>
    <xf numFmtId="0" fontId="4" fillId="22" borderId="1" xfId="2" applyFont="1" applyFill="1" applyBorder="1" applyAlignment="1" applyProtection="1">
      <alignment horizontal="left" vertical="center"/>
      <protection locked="0"/>
    </xf>
    <xf numFmtId="167" fontId="4" fillId="22" borderId="1" xfId="12" applyNumberFormat="1" applyFont="1" applyFill="1" applyBorder="1" applyAlignment="1" applyProtection="1">
      <alignment vertical="center"/>
      <protection locked="0"/>
    </xf>
    <xf numFmtId="0" fontId="16" fillId="13" borderId="1" xfId="0" applyFont="1" applyFill="1" applyBorder="1"/>
    <xf numFmtId="2" fontId="16" fillId="13" borderId="1" xfId="0" applyNumberFormat="1" applyFont="1" applyFill="1" applyBorder="1"/>
    <xf numFmtId="43" fontId="13" fillId="23" borderId="1" xfId="12" applyFont="1" applyFill="1" applyBorder="1" applyAlignment="1"/>
    <xf numFmtId="2" fontId="13" fillId="23" borderId="1" xfId="12" applyNumberFormat="1" applyFont="1" applyFill="1" applyBorder="1" applyAlignment="1">
      <alignment horizontal="left" vertical="center"/>
    </xf>
    <xf numFmtId="1" fontId="13" fillId="23" borderId="1" xfId="12" applyNumberFormat="1" applyFont="1" applyFill="1" applyBorder="1" applyAlignment="1">
      <alignment horizontal="center" vertical="center"/>
    </xf>
    <xf numFmtId="167" fontId="13" fillId="23" borderId="1" xfId="12" applyNumberFormat="1" applyFont="1" applyFill="1" applyBorder="1" applyAlignment="1">
      <alignment vertical="center"/>
    </xf>
    <xf numFmtId="49" fontId="13" fillId="24" borderId="1" xfId="0" applyNumberFormat="1" applyFont="1" applyFill="1" applyBorder="1" applyProtection="1">
      <protection locked="0"/>
    </xf>
    <xf numFmtId="2" fontId="13" fillId="24" borderId="1" xfId="0" applyNumberFormat="1" applyFont="1" applyFill="1" applyBorder="1" applyAlignment="1" applyProtection="1">
      <alignment vertical="center"/>
      <protection locked="0"/>
    </xf>
    <xf numFmtId="0" fontId="13" fillId="24" borderId="1" xfId="2" applyFont="1" applyFill="1" applyBorder="1" applyAlignment="1" applyProtection="1">
      <alignment horizontal="left" vertical="center"/>
      <protection locked="0"/>
    </xf>
    <xf numFmtId="167" fontId="13" fillId="24" borderId="1" xfId="12" applyNumberFormat="1" applyFont="1" applyFill="1" applyBorder="1" applyAlignment="1" applyProtection="1">
      <alignment vertical="center"/>
      <protection locked="0"/>
    </xf>
    <xf numFmtId="2" fontId="21" fillId="2" borderId="1" xfId="0" applyNumberFormat="1" applyFont="1" applyFill="1" applyBorder="1" applyAlignment="1" applyProtection="1">
      <alignment vertical="center"/>
      <protection locked="0"/>
    </xf>
    <xf numFmtId="0" fontId="21" fillId="2" borderId="1" xfId="2" applyFont="1" applyFill="1" applyBorder="1" applyAlignment="1" applyProtection="1">
      <alignment horizontal="left" vertical="center"/>
      <protection locked="0"/>
    </xf>
    <xf numFmtId="167" fontId="21" fillId="2" borderId="1" xfId="12" applyNumberFormat="1" applyFont="1" applyFill="1" applyBorder="1" applyAlignment="1" applyProtection="1">
      <alignment vertical="center"/>
      <protection locked="0"/>
    </xf>
    <xf numFmtId="43" fontId="13" fillId="31" borderId="1" xfId="12" applyFont="1" applyFill="1" applyBorder="1" applyAlignment="1"/>
    <xf numFmtId="2" fontId="13" fillId="31" borderId="1" xfId="12" applyNumberFormat="1" applyFont="1" applyFill="1" applyBorder="1" applyAlignment="1">
      <alignment horizontal="left" vertical="center"/>
    </xf>
    <xf numFmtId="49" fontId="13" fillId="31" borderId="1" xfId="0" applyNumberFormat="1" applyFont="1" applyFill="1" applyBorder="1" applyAlignment="1" applyProtection="1">
      <alignment vertical="center"/>
      <protection locked="0"/>
    </xf>
    <xf numFmtId="1" fontId="13" fillId="31" borderId="1" xfId="12" applyNumberFormat="1" applyFont="1" applyFill="1" applyBorder="1" applyAlignment="1">
      <alignment horizontal="center" vertical="center"/>
    </xf>
    <xf numFmtId="167" fontId="13" fillId="31" borderId="1" xfId="12" applyNumberFormat="1" applyFont="1" applyFill="1" applyBorder="1" applyAlignment="1">
      <alignment vertical="center"/>
    </xf>
    <xf numFmtId="49" fontId="14" fillId="28" borderId="1" xfId="0" applyNumberFormat="1" applyFont="1" applyFill="1" applyBorder="1"/>
    <xf numFmtId="167" fontId="14" fillId="28" borderId="1" xfId="12" applyNumberFormat="1" applyFont="1" applyFill="1" applyBorder="1" applyAlignment="1"/>
    <xf numFmtId="49" fontId="14" fillId="6" borderId="1" xfId="0" applyNumberFormat="1" applyFont="1" applyFill="1" applyBorder="1"/>
    <xf numFmtId="167" fontId="14" fillId="6" borderId="1" xfId="12" applyNumberFormat="1" applyFont="1" applyFill="1" applyBorder="1" applyAlignment="1"/>
    <xf numFmtId="2" fontId="3" fillId="0" borderId="0" xfId="0" applyNumberFormat="1" applyFont="1" applyAlignment="1">
      <alignment vertical="center"/>
    </xf>
    <xf numFmtId="1" fontId="3" fillId="0" borderId="0" xfId="0" applyNumberFormat="1" applyFont="1" applyAlignment="1">
      <alignment horizontal="center" vertical="center"/>
    </xf>
    <xf numFmtId="1" fontId="13" fillId="32" borderId="1" xfId="0" applyNumberFormat="1" applyFont="1" applyFill="1" applyBorder="1" applyAlignment="1">
      <alignment horizontal="left"/>
    </xf>
    <xf numFmtId="167" fontId="13" fillId="32" borderId="1" xfId="12" applyNumberFormat="1" applyFont="1" applyFill="1" applyBorder="1" applyAlignment="1"/>
    <xf numFmtId="1" fontId="14" fillId="25" borderId="1" xfId="0" applyNumberFormat="1" applyFont="1" applyFill="1" applyBorder="1" applyAlignment="1">
      <alignment horizontal="left"/>
    </xf>
    <xf numFmtId="167" fontId="14" fillId="25" borderId="1" xfId="12" applyNumberFormat="1" applyFont="1" applyFill="1" applyBorder="1" applyAlignment="1"/>
    <xf numFmtId="1" fontId="22" fillId="26" borderId="1" xfId="0" applyNumberFormat="1" applyFont="1" applyFill="1" applyBorder="1" applyAlignment="1">
      <alignment horizontal="left"/>
    </xf>
    <xf numFmtId="49" fontId="22" fillId="26" borderId="1" xfId="0" applyNumberFormat="1" applyFont="1" applyFill="1" applyBorder="1"/>
    <xf numFmtId="167" fontId="22" fillId="26" borderId="1" xfId="12" applyNumberFormat="1" applyFont="1" applyFill="1" applyBorder="1" applyAlignment="1"/>
    <xf numFmtId="1" fontId="11" fillId="27" borderId="1" xfId="0" applyNumberFormat="1" applyFont="1" applyFill="1" applyBorder="1" applyAlignment="1">
      <alignment horizontal="left"/>
    </xf>
    <xf numFmtId="37" fontId="8" fillId="27" borderId="1" xfId="14" applyFont="1" applyFill="1" applyBorder="1" applyAlignment="1">
      <alignment horizontal="justify" vertical="center"/>
    </xf>
    <xf numFmtId="167" fontId="8" fillId="27" borderId="1" xfId="12" applyNumberFormat="1" applyFont="1" applyFill="1" applyBorder="1" applyAlignment="1">
      <alignment horizontal="justify" vertical="center"/>
    </xf>
    <xf numFmtId="1" fontId="4" fillId="27" borderId="1" xfId="0" applyNumberFormat="1" applyFont="1" applyFill="1" applyBorder="1" applyAlignment="1">
      <alignment horizontal="left"/>
    </xf>
    <xf numFmtId="167" fontId="4" fillId="27" borderId="1" xfId="12" applyNumberFormat="1" applyFont="1" applyFill="1" applyBorder="1" applyAlignment="1"/>
    <xf numFmtId="1" fontId="17" fillId="29" borderId="1" xfId="0" applyNumberFormat="1" applyFont="1" applyFill="1" applyBorder="1" applyAlignment="1">
      <alignment horizontal="left"/>
    </xf>
    <xf numFmtId="167" fontId="17" fillId="29" borderId="1" xfId="12" applyNumberFormat="1" applyFont="1" applyFill="1" applyBorder="1" applyAlignment="1"/>
    <xf numFmtId="1" fontId="22" fillId="11" borderId="1" xfId="0" applyNumberFormat="1" applyFont="1" applyFill="1" applyBorder="1" applyAlignment="1">
      <alignment horizontal="left"/>
    </xf>
    <xf numFmtId="1" fontId="12" fillId="9" borderId="1" xfId="0" applyNumberFormat="1" applyFont="1" applyFill="1" applyBorder="1" applyAlignment="1">
      <alignment vertical="center"/>
    </xf>
    <xf numFmtId="1" fontId="12" fillId="9" borderId="4" xfId="0" applyNumberFormat="1" applyFont="1" applyFill="1" applyBorder="1" applyAlignment="1">
      <alignment vertical="center"/>
    </xf>
    <xf numFmtId="41" fontId="11" fillId="5" borderId="3" xfId="1" applyFont="1" applyFill="1" applyBorder="1" applyAlignment="1">
      <alignment vertical="center"/>
    </xf>
    <xf numFmtId="1" fontId="11" fillId="5" borderId="3" xfId="1" applyNumberFormat="1" applyFont="1" applyFill="1" applyBorder="1" applyAlignment="1">
      <alignment horizontal="center" vertical="center"/>
    </xf>
    <xf numFmtId="41" fontId="13" fillId="9" borderId="13" xfId="13" applyFont="1" applyFill="1" applyBorder="1" applyAlignment="1">
      <alignment horizontal="center"/>
    </xf>
    <xf numFmtId="41" fontId="13" fillId="9" borderId="18" xfId="13" applyFont="1" applyFill="1" applyBorder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10" fontId="3" fillId="0" borderId="0" xfId="15" applyNumberFormat="1" applyFont="1" applyAlignment="1">
      <alignment vertical="center"/>
    </xf>
    <xf numFmtId="10" fontId="2" fillId="0" borderId="0" xfId="15" applyNumberFormat="1" applyFont="1"/>
    <xf numFmtId="1" fontId="6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 vertical="center" wrapText="1"/>
    </xf>
    <xf numFmtId="41" fontId="10" fillId="33" borderId="2" xfId="13" applyFont="1" applyFill="1" applyBorder="1" applyAlignment="1"/>
    <xf numFmtId="41" fontId="10" fillId="33" borderId="2" xfId="13" applyFont="1" applyFill="1" applyBorder="1"/>
    <xf numFmtId="167" fontId="8" fillId="0" borderId="0" xfId="12" applyNumberFormat="1" applyFont="1" applyAlignment="1">
      <alignment horizontal="center" vertical="center" wrapText="1"/>
    </xf>
    <xf numFmtId="1" fontId="7" fillId="0" borderId="0" xfId="0" applyNumberFormat="1" applyFont="1"/>
    <xf numFmtId="2" fontId="7" fillId="0" borderId="0" xfId="0" applyNumberFormat="1" applyFont="1"/>
    <xf numFmtId="1" fontId="7" fillId="0" borderId="0" xfId="0" applyNumberFormat="1" applyFont="1" applyAlignment="1">
      <alignment horizontal="center"/>
    </xf>
    <xf numFmtId="10" fontId="2" fillId="0" borderId="0" xfId="15" applyNumberFormat="1" applyFont="1" applyAlignment="1"/>
    <xf numFmtId="10" fontId="16" fillId="10" borderId="4" xfId="15" applyNumberFormat="1" applyFont="1" applyFill="1" applyBorder="1" applyAlignment="1" applyProtection="1">
      <alignment horizontal="center" vertical="center"/>
    </xf>
    <xf numFmtId="10" fontId="19" fillId="17" borderId="4" xfId="15" applyNumberFormat="1" applyFont="1" applyFill="1" applyBorder="1" applyAlignment="1" applyProtection="1">
      <alignment horizontal="center" vertical="center"/>
    </xf>
    <xf numFmtId="10" fontId="13" fillId="12" borderId="4" xfId="15" applyNumberFormat="1" applyFont="1" applyFill="1" applyBorder="1" applyAlignment="1" applyProtection="1">
      <alignment horizontal="center" vertical="center"/>
      <protection locked="0"/>
    </xf>
    <xf numFmtId="168" fontId="19" fillId="17" borderId="1" xfId="1" applyNumberFormat="1" applyFont="1" applyFill="1" applyBorder="1" applyAlignment="1" applyProtection="1">
      <alignment vertical="center"/>
    </xf>
    <xf numFmtId="49" fontId="16" fillId="35" borderId="1" xfId="0" applyNumberFormat="1" applyFont="1" applyFill="1" applyBorder="1" applyAlignment="1" applyProtection="1">
      <alignment vertical="center"/>
      <protection locked="0"/>
    </xf>
    <xf numFmtId="2" fontId="16" fillId="35" borderId="1" xfId="0" applyNumberFormat="1" applyFont="1" applyFill="1" applyBorder="1" applyAlignment="1" applyProtection="1">
      <alignment vertical="center"/>
      <protection locked="0"/>
    </xf>
    <xf numFmtId="0" fontId="4" fillId="36" borderId="1" xfId="0" applyFont="1" applyFill="1" applyBorder="1" applyAlignment="1">
      <alignment horizontal="center" vertical="center"/>
    </xf>
    <xf numFmtId="41" fontId="19" fillId="11" borderId="1" xfId="1" applyFont="1" applyFill="1" applyBorder="1" applyAlignment="1" applyProtection="1">
      <alignment vertical="center"/>
    </xf>
    <xf numFmtId="41" fontId="3" fillId="0" borderId="0" xfId="1" applyFont="1" applyFill="1" applyAlignment="1">
      <alignment vertical="center"/>
    </xf>
    <xf numFmtId="41" fontId="3" fillId="0" borderId="0" xfId="1" applyFont="1" applyFill="1" applyAlignment="1" applyProtection="1">
      <alignment vertical="center"/>
      <protection locked="0"/>
    </xf>
    <xf numFmtId="49" fontId="16" fillId="17" borderId="1" xfId="0" applyNumberFormat="1" applyFont="1" applyFill="1" applyBorder="1" applyAlignment="1" applyProtection="1">
      <alignment vertical="center"/>
      <protection locked="0"/>
    </xf>
    <xf numFmtId="41" fontId="16" fillId="17" borderId="1" xfId="1" applyFont="1" applyFill="1" applyBorder="1" applyAlignment="1" applyProtection="1">
      <alignment vertical="center"/>
    </xf>
    <xf numFmtId="10" fontId="16" fillId="17" borderId="4" xfId="15" applyNumberFormat="1" applyFont="1" applyFill="1" applyBorder="1" applyAlignment="1" applyProtection="1">
      <alignment horizontal="center" vertical="center"/>
    </xf>
    <xf numFmtId="41" fontId="23" fillId="17" borderId="1" xfId="1" applyFont="1" applyFill="1" applyBorder="1" applyAlignment="1">
      <alignment vertical="center"/>
    </xf>
    <xf numFmtId="2" fontId="16" fillId="17" borderId="1" xfId="0" applyNumberFormat="1" applyFont="1" applyFill="1" applyBorder="1" applyAlignment="1" applyProtection="1">
      <alignment vertical="center"/>
      <protection locked="0"/>
    </xf>
    <xf numFmtId="1" fontId="23" fillId="17" borderId="1" xfId="0" applyNumberFormat="1" applyFont="1" applyFill="1" applyBorder="1" applyAlignment="1" applyProtection="1">
      <alignment horizontal="center" vertical="center"/>
      <protection locked="0"/>
    </xf>
    <xf numFmtId="0" fontId="23" fillId="17" borderId="1" xfId="2" applyFont="1" applyFill="1" applyBorder="1" applyAlignment="1" applyProtection="1">
      <alignment horizontal="left" vertical="center"/>
      <protection locked="0"/>
    </xf>
    <xf numFmtId="0" fontId="4" fillId="0" borderId="0" xfId="0" applyFont="1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166" fontId="23" fillId="17" borderId="1" xfId="8" applyNumberFormat="1" applyFont="1" applyFill="1" applyBorder="1" applyAlignment="1" applyProtection="1">
      <alignment horizontal="left" vertical="center"/>
      <protection locked="0"/>
    </xf>
    <xf numFmtId="2" fontId="23" fillId="17" borderId="1" xfId="8" applyNumberFormat="1" applyFont="1" applyFill="1" applyBorder="1" applyAlignment="1" applyProtection="1">
      <alignment horizontal="left" vertical="center"/>
      <protection locked="0"/>
    </xf>
    <xf numFmtId="10" fontId="23" fillId="17" borderId="4" xfId="15" applyNumberFormat="1" applyFont="1" applyFill="1" applyBorder="1" applyAlignment="1">
      <alignment horizontal="center" vertical="center"/>
    </xf>
    <xf numFmtId="169" fontId="3" fillId="0" borderId="0" xfId="15" applyNumberFormat="1" applyFont="1" applyFill="1" applyAlignment="1">
      <alignment horizontal="center" vertical="center"/>
    </xf>
    <xf numFmtId="169" fontId="2" fillId="0" borderId="0" xfId="15" applyNumberFormat="1" applyFont="1" applyFill="1" applyAlignment="1">
      <alignment horizontal="center"/>
    </xf>
    <xf numFmtId="169" fontId="4" fillId="0" borderId="1" xfId="15" applyNumberFormat="1" applyFont="1" applyFill="1" applyBorder="1" applyAlignment="1">
      <alignment horizontal="center" vertical="center"/>
    </xf>
    <xf numFmtId="10" fontId="13" fillId="9" borderId="21" xfId="15" applyNumberFormat="1" applyFont="1" applyFill="1" applyBorder="1" applyAlignment="1">
      <alignment vertical="center" wrapText="1"/>
    </xf>
    <xf numFmtId="10" fontId="13" fillId="9" borderId="22" xfId="15" applyNumberFormat="1" applyFont="1" applyFill="1" applyBorder="1" applyAlignment="1">
      <alignment vertical="center" wrapText="1"/>
    </xf>
    <xf numFmtId="41" fontId="16" fillId="10" borderId="1" xfId="1" applyFont="1" applyFill="1" applyBorder="1" applyAlignment="1" applyProtection="1">
      <alignment vertical="center" wrapText="1"/>
    </xf>
    <xf numFmtId="0" fontId="16" fillId="13" borderId="1" xfId="2" applyFont="1" applyFill="1" applyBorder="1" applyAlignment="1" applyProtection="1">
      <alignment horizontal="left" vertical="center" wrapText="1"/>
      <protection locked="0"/>
    </xf>
    <xf numFmtId="10" fontId="11" fillId="37" borderId="3" xfId="0" applyNumberFormat="1" applyFont="1" applyFill="1" applyBorder="1"/>
    <xf numFmtId="3" fontId="22" fillId="38" borderId="25" xfId="0" applyNumberFormat="1" applyFont="1" applyFill="1" applyBorder="1"/>
    <xf numFmtId="10" fontId="22" fillId="38" borderId="25" xfId="0" applyNumberFormat="1" applyFont="1" applyFill="1" applyBorder="1"/>
    <xf numFmtId="3" fontId="22" fillId="39" borderId="3" xfId="0" applyNumberFormat="1" applyFont="1" applyFill="1" applyBorder="1"/>
    <xf numFmtId="0" fontId="22" fillId="39" borderId="25" xfId="0" applyFont="1" applyFill="1" applyBorder="1"/>
    <xf numFmtId="3" fontId="22" fillId="39" borderId="25" xfId="0" applyNumberFormat="1" applyFont="1" applyFill="1" applyBorder="1"/>
    <xf numFmtId="10" fontId="22" fillId="39" borderId="25" xfId="0" applyNumberFormat="1" applyFont="1" applyFill="1" applyBorder="1"/>
    <xf numFmtId="0" fontId="22" fillId="40" borderId="25" xfId="0" applyFont="1" applyFill="1" applyBorder="1"/>
    <xf numFmtId="3" fontId="22" fillId="40" borderId="25" xfId="0" applyNumberFormat="1" applyFont="1" applyFill="1" applyBorder="1"/>
    <xf numFmtId="10" fontId="22" fillId="40" borderId="25" xfId="0" applyNumberFormat="1" applyFont="1" applyFill="1" applyBorder="1"/>
    <xf numFmtId="3" fontId="4" fillId="41" borderId="3" xfId="0" applyNumberFormat="1" applyFont="1" applyFill="1" applyBorder="1"/>
    <xf numFmtId="0" fontId="4" fillId="41" borderId="25" xfId="0" applyFont="1" applyFill="1" applyBorder="1"/>
    <xf numFmtId="3" fontId="4" fillId="41" borderId="25" xfId="0" applyNumberFormat="1" applyFont="1" applyFill="1" applyBorder="1"/>
    <xf numFmtId="10" fontId="4" fillId="41" borderId="25" xfId="0" applyNumberFormat="1" applyFont="1" applyFill="1" applyBorder="1"/>
    <xf numFmtId="3" fontId="22" fillId="42" borderId="3" xfId="0" applyNumberFormat="1" applyFont="1" applyFill="1" applyBorder="1"/>
    <xf numFmtId="0" fontId="22" fillId="42" borderId="25" xfId="0" applyFont="1" applyFill="1" applyBorder="1"/>
    <xf numFmtId="3" fontId="22" fillId="42" borderId="25" xfId="0" applyNumberFormat="1" applyFont="1" applyFill="1" applyBorder="1"/>
    <xf numFmtId="10" fontId="22" fillId="42" borderId="25" xfId="0" applyNumberFormat="1" applyFont="1" applyFill="1" applyBorder="1"/>
    <xf numFmtId="3" fontId="18" fillId="43" borderId="3" xfId="0" applyNumberFormat="1" applyFont="1" applyFill="1" applyBorder="1"/>
    <xf numFmtId="0" fontId="18" fillId="43" borderId="25" xfId="0" applyFont="1" applyFill="1" applyBorder="1"/>
    <xf numFmtId="3" fontId="18" fillId="43" borderId="25" xfId="0" applyNumberFormat="1" applyFont="1" applyFill="1" applyBorder="1"/>
    <xf numFmtId="10" fontId="18" fillId="43" borderId="25" xfId="0" applyNumberFormat="1" applyFont="1" applyFill="1" applyBorder="1"/>
    <xf numFmtId="0" fontId="22" fillId="44" borderId="3" xfId="0" applyFont="1" applyFill="1" applyBorder="1"/>
    <xf numFmtId="3" fontId="22" fillId="44" borderId="3" xfId="0" applyNumberFormat="1" applyFont="1" applyFill="1" applyBorder="1"/>
    <xf numFmtId="0" fontId="22" fillId="44" borderId="25" xfId="0" applyFont="1" applyFill="1" applyBorder="1"/>
    <xf numFmtId="3" fontId="22" fillId="44" borderId="25" xfId="0" applyNumberFormat="1" applyFont="1" applyFill="1" applyBorder="1"/>
    <xf numFmtId="10" fontId="22" fillId="44" borderId="25" xfId="0" applyNumberFormat="1" applyFont="1" applyFill="1" applyBorder="1"/>
    <xf numFmtId="0" fontId="16" fillId="45" borderId="3" xfId="0" applyFont="1" applyFill="1" applyBorder="1"/>
    <xf numFmtId="3" fontId="16" fillId="45" borderId="3" xfId="0" applyNumberFormat="1" applyFont="1" applyFill="1" applyBorder="1"/>
    <xf numFmtId="0" fontId="16" fillId="45" borderId="25" xfId="0" applyFont="1" applyFill="1" applyBorder="1"/>
    <xf numFmtId="3" fontId="16" fillId="45" borderId="25" xfId="0" applyNumberFormat="1" applyFont="1" applyFill="1" applyBorder="1"/>
    <xf numFmtId="10" fontId="16" fillId="45" borderId="25" xfId="0" applyNumberFormat="1" applyFont="1" applyFill="1" applyBorder="1"/>
    <xf numFmtId="3" fontId="22" fillId="46" borderId="3" xfId="0" applyNumberFormat="1" applyFont="1" applyFill="1" applyBorder="1"/>
    <xf numFmtId="0" fontId="22" fillId="46" borderId="25" xfId="0" applyFont="1" applyFill="1" applyBorder="1"/>
    <xf numFmtId="3" fontId="22" fillId="46" borderId="25" xfId="0" applyNumberFormat="1" applyFont="1" applyFill="1" applyBorder="1"/>
    <xf numFmtId="10" fontId="22" fillId="46" borderId="25" xfId="0" applyNumberFormat="1" applyFont="1" applyFill="1" applyBorder="1"/>
    <xf numFmtId="0" fontId="25" fillId="47" borderId="3" xfId="0" applyFont="1" applyFill="1" applyBorder="1"/>
    <xf numFmtId="0" fontId="25" fillId="47" borderId="25" xfId="0" applyFont="1" applyFill="1" applyBorder="1"/>
    <xf numFmtId="10" fontId="25" fillId="47" borderId="25" xfId="0" applyNumberFormat="1" applyFont="1" applyFill="1" applyBorder="1"/>
    <xf numFmtId="3" fontId="25" fillId="47" borderId="3" xfId="0" applyNumberFormat="1" applyFont="1" applyFill="1" applyBorder="1"/>
    <xf numFmtId="3" fontId="25" fillId="47" borderId="25" xfId="0" applyNumberFormat="1" applyFont="1" applyFill="1" applyBorder="1"/>
    <xf numFmtId="3" fontId="4" fillId="48" borderId="3" xfId="0" applyNumberFormat="1" applyFont="1" applyFill="1" applyBorder="1"/>
    <xf numFmtId="3" fontId="4" fillId="48" borderId="25" xfId="0" applyNumberFormat="1" applyFont="1" applyFill="1" applyBorder="1"/>
    <xf numFmtId="10" fontId="4" fillId="48" borderId="25" xfId="0" applyNumberFormat="1" applyFont="1" applyFill="1" applyBorder="1"/>
    <xf numFmtId="9" fontId="16" fillId="45" borderId="25" xfId="0" applyNumberFormat="1" applyFont="1" applyFill="1" applyBorder="1"/>
    <xf numFmtId="3" fontId="22" fillId="49" borderId="3" xfId="0" applyNumberFormat="1" applyFont="1" applyFill="1" applyBorder="1"/>
    <xf numFmtId="0" fontId="22" fillId="49" borderId="25" xfId="0" applyFont="1" applyFill="1" applyBorder="1"/>
    <xf numFmtId="3" fontId="22" fillId="49" borderId="25" xfId="0" applyNumberFormat="1" applyFont="1" applyFill="1" applyBorder="1"/>
    <xf numFmtId="10" fontId="22" fillId="49" borderId="25" xfId="0" applyNumberFormat="1" applyFont="1" applyFill="1" applyBorder="1"/>
    <xf numFmtId="3" fontId="4" fillId="50" borderId="3" xfId="0" applyNumberFormat="1" applyFont="1" applyFill="1" applyBorder="1"/>
    <xf numFmtId="0" fontId="4" fillId="50" borderId="25" xfId="0" applyFont="1" applyFill="1" applyBorder="1"/>
    <xf numFmtId="3" fontId="4" fillId="50" borderId="25" xfId="0" applyNumberFormat="1" applyFont="1" applyFill="1" applyBorder="1"/>
    <xf numFmtId="10" fontId="4" fillId="50" borderId="25" xfId="0" applyNumberFormat="1" applyFont="1" applyFill="1" applyBorder="1"/>
    <xf numFmtId="0" fontId="4" fillId="51" borderId="3" xfId="0" applyFont="1" applyFill="1" applyBorder="1"/>
    <xf numFmtId="0" fontId="4" fillId="51" borderId="25" xfId="0" applyFont="1" applyFill="1" applyBorder="1"/>
    <xf numFmtId="3" fontId="4" fillId="51" borderId="25" xfId="0" applyNumberFormat="1" applyFont="1" applyFill="1" applyBorder="1"/>
    <xf numFmtId="10" fontId="4" fillId="51" borderId="25" xfId="0" applyNumberFormat="1" applyFont="1" applyFill="1" applyBorder="1"/>
    <xf numFmtId="3" fontId="4" fillId="51" borderId="1" xfId="0" applyNumberFormat="1" applyFont="1" applyFill="1" applyBorder="1"/>
    <xf numFmtId="0" fontId="4" fillId="51" borderId="26" xfId="0" applyFont="1" applyFill="1" applyBorder="1"/>
    <xf numFmtId="3" fontId="4" fillId="51" borderId="26" xfId="0" applyNumberFormat="1" applyFont="1" applyFill="1" applyBorder="1"/>
    <xf numFmtId="10" fontId="4" fillId="51" borderId="26" xfId="0" applyNumberFormat="1" applyFont="1" applyFill="1" applyBorder="1"/>
    <xf numFmtId="3" fontId="4" fillId="52" borderId="3" xfId="0" applyNumberFormat="1" applyFont="1" applyFill="1" applyBorder="1"/>
    <xf numFmtId="0" fontId="4" fillId="52" borderId="25" xfId="0" applyFont="1" applyFill="1" applyBorder="1"/>
    <xf numFmtId="3" fontId="4" fillId="52" borderId="25" xfId="0" applyNumberFormat="1" applyFont="1" applyFill="1" applyBorder="1"/>
    <xf numFmtId="10" fontId="4" fillId="52" borderId="25" xfId="0" applyNumberFormat="1" applyFont="1" applyFill="1" applyBorder="1"/>
    <xf numFmtId="3" fontId="4" fillId="51" borderId="3" xfId="0" applyNumberFormat="1" applyFont="1" applyFill="1" applyBorder="1"/>
    <xf numFmtId="0" fontId="16" fillId="45" borderId="1" xfId="0" applyFont="1" applyFill="1" applyBorder="1"/>
    <xf numFmtId="0" fontId="16" fillId="45" borderId="26" xfId="0" applyFont="1" applyFill="1" applyBorder="1"/>
    <xf numFmtId="9" fontId="16" fillId="45" borderId="26" xfId="0" applyNumberFormat="1" applyFont="1" applyFill="1" applyBorder="1"/>
    <xf numFmtId="3" fontId="4" fillId="50" borderId="1" xfId="0" applyNumberFormat="1" applyFont="1" applyFill="1" applyBorder="1"/>
    <xf numFmtId="3" fontId="4" fillId="50" borderId="26" xfId="0" applyNumberFormat="1" applyFont="1" applyFill="1" applyBorder="1"/>
    <xf numFmtId="10" fontId="4" fillId="50" borderId="26" xfId="0" applyNumberFormat="1" applyFont="1" applyFill="1" applyBorder="1"/>
    <xf numFmtId="3" fontId="18" fillId="43" borderId="1" xfId="0" applyNumberFormat="1" applyFont="1" applyFill="1" applyBorder="1"/>
    <xf numFmtId="0" fontId="18" fillId="43" borderId="26" xfId="0" applyFont="1" applyFill="1" applyBorder="1"/>
    <xf numFmtId="3" fontId="18" fillId="43" borderId="26" xfId="0" applyNumberFormat="1" applyFont="1" applyFill="1" applyBorder="1"/>
    <xf numFmtId="10" fontId="18" fillId="43" borderId="26" xfId="0" applyNumberFormat="1" applyFont="1" applyFill="1" applyBorder="1"/>
    <xf numFmtId="3" fontId="25" fillId="47" borderId="1" xfId="0" applyNumberFormat="1" applyFont="1" applyFill="1" applyBorder="1"/>
    <xf numFmtId="0" fontId="25" fillId="47" borderId="26" xfId="0" applyFont="1" applyFill="1" applyBorder="1"/>
    <xf numFmtId="3" fontId="25" fillId="47" borderId="26" xfId="0" applyNumberFormat="1" applyFont="1" applyFill="1" applyBorder="1"/>
    <xf numFmtId="10" fontId="25" fillId="47" borderId="26" xfId="0" applyNumberFormat="1" applyFont="1" applyFill="1" applyBorder="1"/>
    <xf numFmtId="3" fontId="22" fillId="44" borderId="1" xfId="0" applyNumberFormat="1" applyFont="1" applyFill="1" applyBorder="1"/>
    <xf numFmtId="0" fontId="22" fillId="44" borderId="26" xfId="0" applyFont="1" applyFill="1" applyBorder="1"/>
    <xf numFmtId="3" fontId="22" fillId="44" borderId="26" xfId="0" applyNumberFormat="1" applyFont="1" applyFill="1" applyBorder="1"/>
    <xf numFmtId="10" fontId="22" fillId="44" borderId="26" xfId="0" applyNumberFormat="1" applyFont="1" applyFill="1" applyBorder="1"/>
    <xf numFmtId="3" fontId="16" fillId="45" borderId="1" xfId="0" applyNumberFormat="1" applyFont="1" applyFill="1" applyBorder="1"/>
    <xf numFmtId="3" fontId="16" fillId="45" borderId="26" xfId="0" applyNumberFormat="1" applyFont="1" applyFill="1" applyBorder="1"/>
    <xf numFmtId="10" fontId="16" fillId="45" borderId="26" xfId="0" applyNumberFormat="1" applyFont="1" applyFill="1" applyBorder="1"/>
    <xf numFmtId="0" fontId="4" fillId="52" borderId="1" xfId="0" applyFont="1" applyFill="1" applyBorder="1"/>
    <xf numFmtId="3" fontId="4" fillId="52" borderId="1" xfId="0" applyNumberFormat="1" applyFont="1" applyFill="1" applyBorder="1"/>
    <xf numFmtId="0" fontId="4" fillId="52" borderId="26" xfId="0" applyFont="1" applyFill="1" applyBorder="1"/>
    <xf numFmtId="3" fontId="4" fillId="52" borderId="26" xfId="0" applyNumberFormat="1" applyFont="1" applyFill="1" applyBorder="1"/>
    <xf numFmtId="10" fontId="4" fillId="52" borderId="26" xfId="0" applyNumberFormat="1" applyFont="1" applyFill="1" applyBorder="1"/>
    <xf numFmtId="3" fontId="4" fillId="53" borderId="3" xfId="0" applyNumberFormat="1" applyFont="1" applyFill="1" applyBorder="1"/>
    <xf numFmtId="0" fontId="4" fillId="53" borderId="25" xfId="0" applyFont="1" applyFill="1" applyBorder="1"/>
    <xf numFmtId="3" fontId="4" fillId="53" borderId="25" xfId="0" applyNumberFormat="1" applyFont="1" applyFill="1" applyBorder="1"/>
    <xf numFmtId="10" fontId="4" fillId="53" borderId="25" xfId="0" applyNumberFormat="1" applyFont="1" applyFill="1" applyBorder="1"/>
    <xf numFmtId="0" fontId="16" fillId="47" borderId="25" xfId="0" applyFont="1" applyFill="1" applyBorder="1"/>
    <xf numFmtId="10" fontId="16" fillId="47" borderId="25" xfId="0" applyNumberFormat="1" applyFont="1" applyFill="1" applyBorder="1"/>
    <xf numFmtId="0" fontId="25" fillId="45" borderId="1" xfId="0" applyFont="1" applyFill="1" applyBorder="1"/>
    <xf numFmtId="0" fontId="25" fillId="45" borderId="26" xfId="0" applyFont="1" applyFill="1" applyBorder="1"/>
    <xf numFmtId="3" fontId="22" fillId="54" borderId="3" xfId="0" applyNumberFormat="1" applyFont="1" applyFill="1" applyBorder="1"/>
    <xf numFmtId="0" fontId="22" fillId="54" borderId="25" xfId="0" applyFont="1" applyFill="1" applyBorder="1"/>
    <xf numFmtId="3" fontId="22" fillId="54" borderId="25" xfId="0" applyNumberFormat="1" applyFont="1" applyFill="1" applyBorder="1"/>
    <xf numFmtId="10" fontId="22" fillId="54" borderId="25" xfId="0" applyNumberFormat="1" applyFont="1" applyFill="1" applyBorder="1"/>
    <xf numFmtId="0" fontId="22" fillId="55" borderId="3" xfId="0" applyFont="1" applyFill="1" applyBorder="1"/>
    <xf numFmtId="3" fontId="22" fillId="55" borderId="3" xfId="0" applyNumberFormat="1" applyFont="1" applyFill="1" applyBorder="1"/>
    <xf numFmtId="0" fontId="22" fillId="55" borderId="25" xfId="0" applyFont="1" applyFill="1" applyBorder="1"/>
    <xf numFmtId="3" fontId="22" fillId="55" borderId="25" xfId="0" applyNumberFormat="1" applyFont="1" applyFill="1" applyBorder="1"/>
    <xf numFmtId="10" fontId="22" fillId="55" borderId="25" xfId="0" applyNumberFormat="1" applyFont="1" applyFill="1" applyBorder="1"/>
    <xf numFmtId="3" fontId="21" fillId="56" borderId="3" xfId="0" applyNumberFormat="1" applyFont="1" applyFill="1" applyBorder="1"/>
    <xf numFmtId="0" fontId="21" fillId="56" borderId="25" xfId="0" applyFont="1" applyFill="1" applyBorder="1"/>
    <xf numFmtId="3" fontId="21" fillId="56" borderId="25" xfId="0" applyNumberFormat="1" applyFont="1" applyFill="1" applyBorder="1"/>
    <xf numFmtId="10" fontId="21" fillId="56" borderId="25" xfId="0" applyNumberFormat="1" applyFont="1" applyFill="1" applyBorder="1"/>
    <xf numFmtId="3" fontId="22" fillId="57" borderId="3" xfId="0" applyNumberFormat="1" applyFont="1" applyFill="1" applyBorder="1"/>
    <xf numFmtId="3" fontId="22" fillId="57" borderId="25" xfId="0" applyNumberFormat="1" applyFont="1" applyFill="1" applyBorder="1"/>
    <xf numFmtId="10" fontId="22" fillId="57" borderId="25" xfId="0" applyNumberFormat="1" applyFont="1" applyFill="1" applyBorder="1"/>
    <xf numFmtId="0" fontId="22" fillId="54" borderId="1" xfId="0" applyFont="1" applyFill="1" applyBorder="1"/>
    <xf numFmtId="3" fontId="22" fillId="54" borderId="1" xfId="0" applyNumberFormat="1" applyFont="1" applyFill="1" applyBorder="1"/>
    <xf numFmtId="0" fontId="22" fillId="54" borderId="26" xfId="0" applyFont="1" applyFill="1" applyBorder="1"/>
    <xf numFmtId="3" fontId="22" fillId="54" borderId="26" xfId="0" applyNumberFormat="1" applyFont="1" applyFill="1" applyBorder="1"/>
    <xf numFmtId="10" fontId="22" fillId="54" borderId="26" xfId="0" applyNumberFormat="1" applyFont="1" applyFill="1" applyBorder="1"/>
    <xf numFmtId="3" fontId="22" fillId="58" borderId="3" xfId="0" applyNumberFormat="1" applyFont="1" applyFill="1" applyBorder="1"/>
    <xf numFmtId="3" fontId="22" fillId="58" borderId="25" xfId="0" applyNumberFormat="1" applyFont="1" applyFill="1" applyBorder="1"/>
    <xf numFmtId="10" fontId="22" fillId="58" borderId="25" xfId="0" applyNumberFormat="1" applyFont="1" applyFill="1" applyBorder="1"/>
    <xf numFmtId="3" fontId="11" fillId="59" borderId="3" xfId="0" applyNumberFormat="1" applyFont="1" applyFill="1" applyBorder="1"/>
    <xf numFmtId="3" fontId="11" fillId="59" borderId="25" xfId="0" applyNumberFormat="1" applyFont="1" applyFill="1" applyBorder="1"/>
    <xf numFmtId="10" fontId="11" fillId="59" borderId="25" xfId="0" applyNumberFormat="1" applyFont="1" applyFill="1" applyBorder="1"/>
    <xf numFmtId="3" fontId="14" fillId="60" borderId="3" xfId="0" applyNumberFormat="1" applyFont="1" applyFill="1" applyBorder="1"/>
    <xf numFmtId="3" fontId="14" fillId="60" borderId="25" xfId="0" applyNumberFormat="1" applyFont="1" applyFill="1" applyBorder="1"/>
    <xf numFmtId="10" fontId="14" fillId="60" borderId="25" xfId="0" applyNumberFormat="1" applyFont="1" applyFill="1" applyBorder="1"/>
    <xf numFmtId="3" fontId="14" fillId="41" borderId="3" xfId="0" applyNumberFormat="1" applyFont="1" applyFill="1" applyBorder="1"/>
    <xf numFmtId="3" fontId="14" fillId="41" borderId="25" xfId="0" applyNumberFormat="1" applyFont="1" applyFill="1" applyBorder="1"/>
    <xf numFmtId="10" fontId="14" fillId="41" borderId="25" xfId="0" applyNumberFormat="1" applyFont="1" applyFill="1" applyBorder="1"/>
    <xf numFmtId="3" fontId="22" fillId="61" borderId="3" xfId="0" applyNumberFormat="1" applyFont="1" applyFill="1" applyBorder="1"/>
    <xf numFmtId="0" fontId="22" fillId="61" borderId="25" xfId="0" applyFont="1" applyFill="1" applyBorder="1"/>
    <xf numFmtId="3" fontId="22" fillId="61" borderId="25" xfId="0" applyNumberFormat="1" applyFont="1" applyFill="1" applyBorder="1"/>
    <xf numFmtId="10" fontId="22" fillId="61" borderId="25" xfId="0" applyNumberFormat="1" applyFont="1" applyFill="1" applyBorder="1"/>
    <xf numFmtId="3" fontId="4" fillId="59" borderId="3" xfId="0" applyNumberFormat="1" applyFont="1" applyFill="1" applyBorder="1"/>
    <xf numFmtId="0" fontId="4" fillId="59" borderId="25" xfId="0" applyFont="1" applyFill="1" applyBorder="1"/>
    <xf numFmtId="3" fontId="4" fillId="59" borderId="25" xfId="0" applyNumberFormat="1" applyFont="1" applyFill="1" applyBorder="1"/>
    <xf numFmtId="10" fontId="4" fillId="59" borderId="25" xfId="0" applyNumberFormat="1" applyFont="1" applyFill="1" applyBorder="1"/>
    <xf numFmtId="3" fontId="14" fillId="62" borderId="3" xfId="0" applyNumberFormat="1" applyFont="1" applyFill="1" applyBorder="1"/>
    <xf numFmtId="0" fontId="14" fillId="62" borderId="25" xfId="0" applyFont="1" applyFill="1" applyBorder="1"/>
    <xf numFmtId="3" fontId="14" fillId="62" borderId="25" xfId="0" applyNumberFormat="1" applyFont="1" applyFill="1" applyBorder="1"/>
    <xf numFmtId="10" fontId="14" fillId="62" borderId="25" xfId="0" applyNumberFormat="1" applyFont="1" applyFill="1" applyBorder="1"/>
    <xf numFmtId="3" fontId="26" fillId="63" borderId="3" xfId="0" applyNumberFormat="1" applyFont="1" applyFill="1" applyBorder="1"/>
    <xf numFmtId="0" fontId="26" fillId="63" borderId="25" xfId="0" applyFont="1" applyFill="1" applyBorder="1"/>
    <xf numFmtId="3" fontId="26" fillId="63" borderId="25" xfId="0" applyNumberFormat="1" applyFont="1" applyFill="1" applyBorder="1"/>
    <xf numFmtId="10" fontId="26" fillId="63" borderId="25" xfId="0" applyNumberFormat="1" applyFont="1" applyFill="1" applyBorder="1"/>
    <xf numFmtId="0" fontId="27" fillId="34" borderId="23" xfId="0" applyFont="1" applyFill="1" applyBorder="1" applyAlignment="1">
      <alignment horizontal="center" vertical="center"/>
    </xf>
    <xf numFmtId="0" fontId="24" fillId="36" borderId="1" xfId="0" applyFont="1" applyFill="1" applyBorder="1" applyAlignment="1">
      <alignment horizontal="center" vertical="center"/>
    </xf>
    <xf numFmtId="41" fontId="28" fillId="5" borderId="3" xfId="1" applyFont="1" applyFill="1" applyBorder="1" applyAlignment="1">
      <alignment vertical="center"/>
    </xf>
    <xf numFmtId="41" fontId="27" fillId="11" borderId="1" xfId="1" applyFont="1" applyFill="1" applyBorder="1" applyAlignment="1">
      <alignment vertical="center"/>
    </xf>
    <xf numFmtId="167" fontId="27" fillId="30" borderId="1" xfId="12" applyNumberFormat="1" applyFont="1" applyFill="1" applyBorder="1" applyAlignment="1">
      <alignment vertical="center"/>
    </xf>
    <xf numFmtId="167" fontId="27" fillId="16" borderId="1" xfId="12" applyNumberFormat="1" applyFont="1" applyFill="1" applyBorder="1"/>
    <xf numFmtId="167" fontId="24" fillId="6" borderId="1" xfId="12" applyNumberFormat="1" applyFont="1" applyFill="1" applyBorder="1" applyAlignment="1">
      <alignment vertical="center"/>
    </xf>
    <xf numFmtId="167" fontId="27" fillId="15" borderId="1" xfId="12" applyNumberFormat="1" applyFont="1" applyFill="1" applyBorder="1" applyAlignment="1">
      <alignment vertical="center"/>
    </xf>
    <xf numFmtId="167" fontId="29" fillId="7" borderId="1" xfId="12" applyNumberFormat="1" applyFont="1" applyFill="1" applyBorder="1" applyAlignment="1">
      <alignment vertical="center"/>
    </xf>
    <xf numFmtId="41" fontId="27" fillId="12" borderId="1" xfId="1" applyFont="1" applyFill="1" applyBorder="1" applyAlignment="1">
      <alignment vertical="center"/>
    </xf>
    <xf numFmtId="41" fontId="30" fillId="10" borderId="1" xfId="1" applyFont="1" applyFill="1" applyBorder="1" applyAlignment="1">
      <alignment vertical="center"/>
    </xf>
    <xf numFmtId="41" fontId="27" fillId="8" borderId="1" xfId="1" applyFont="1" applyFill="1" applyBorder="1" applyAlignment="1">
      <alignment vertical="center"/>
    </xf>
    <xf numFmtId="167" fontId="27" fillId="12" borderId="1" xfId="12" applyNumberFormat="1" applyFont="1" applyFill="1" applyBorder="1" applyAlignment="1" applyProtection="1">
      <alignment vertical="center"/>
      <protection locked="0"/>
    </xf>
    <xf numFmtId="41" fontId="30" fillId="10" borderId="1" xfId="1" applyFont="1" applyFill="1" applyBorder="1" applyAlignment="1">
      <alignment vertical="center" wrapText="1"/>
    </xf>
    <xf numFmtId="167" fontId="24" fillId="18" borderId="1" xfId="12" applyNumberFormat="1" applyFont="1" applyFill="1" applyBorder="1" applyAlignment="1" applyProtection="1">
      <alignment vertical="center"/>
      <protection locked="0"/>
    </xf>
    <xf numFmtId="41" fontId="27" fillId="19" borderId="1" xfId="1" applyFont="1" applyFill="1" applyBorder="1" applyAlignment="1">
      <alignment vertical="center"/>
    </xf>
    <xf numFmtId="41" fontId="24" fillId="14" borderId="1" xfId="1" applyFont="1" applyFill="1" applyBorder="1" applyAlignment="1">
      <alignment vertical="center"/>
    </xf>
    <xf numFmtId="167" fontId="24" fillId="20" borderId="1" xfId="12" applyNumberFormat="1" applyFont="1" applyFill="1" applyBorder="1" applyAlignment="1">
      <alignment vertical="center"/>
    </xf>
    <xf numFmtId="167" fontId="24" fillId="21" borderId="1" xfId="12" applyNumberFormat="1" applyFont="1" applyFill="1" applyBorder="1" applyAlignment="1" applyProtection="1">
      <alignment vertical="center"/>
      <protection locked="0"/>
    </xf>
    <xf numFmtId="41" fontId="30" fillId="17" borderId="1" xfId="1" applyFont="1" applyFill="1" applyBorder="1" applyAlignment="1">
      <alignment vertical="center"/>
    </xf>
    <xf numFmtId="168" fontId="23" fillId="17" borderId="1" xfId="1" applyNumberFormat="1" applyFont="1" applyFill="1" applyBorder="1" applyAlignment="1">
      <alignment vertical="center"/>
    </xf>
    <xf numFmtId="167" fontId="24" fillId="22" borderId="1" xfId="12" applyNumberFormat="1" applyFont="1" applyFill="1" applyBorder="1" applyAlignment="1" applyProtection="1">
      <alignment vertical="center"/>
      <protection locked="0"/>
    </xf>
    <xf numFmtId="41" fontId="30" fillId="13" borderId="1" xfId="1" applyFont="1" applyFill="1" applyBorder="1" applyAlignment="1">
      <alignment vertical="center"/>
    </xf>
    <xf numFmtId="41" fontId="23" fillId="11" borderId="1" xfId="1" applyFont="1" applyFill="1" applyBorder="1" applyAlignment="1">
      <alignment vertical="center"/>
    </xf>
    <xf numFmtId="167" fontId="27" fillId="23" borderId="1" xfId="12" applyNumberFormat="1" applyFont="1" applyFill="1" applyBorder="1" applyAlignment="1">
      <alignment vertical="center"/>
    </xf>
    <xf numFmtId="167" fontId="27" fillId="24" borderId="1" xfId="12" applyNumberFormat="1" applyFont="1" applyFill="1" applyBorder="1" applyAlignment="1" applyProtection="1">
      <alignment vertical="center"/>
      <protection locked="0"/>
    </xf>
    <xf numFmtId="167" fontId="31" fillId="2" borderId="1" xfId="12" applyNumberFormat="1" applyFont="1" applyFill="1" applyBorder="1" applyAlignment="1" applyProtection="1">
      <alignment vertical="center"/>
      <protection locked="0"/>
    </xf>
    <xf numFmtId="167" fontId="27" fillId="31" borderId="1" xfId="12" applyNumberFormat="1" applyFont="1" applyFill="1" applyBorder="1" applyAlignment="1">
      <alignment vertical="center"/>
    </xf>
    <xf numFmtId="167" fontId="32" fillId="26" borderId="1" xfId="12" applyNumberFormat="1" applyFont="1" applyFill="1" applyBorder="1"/>
    <xf numFmtId="167" fontId="33" fillId="27" borderId="1" xfId="12" applyNumberFormat="1" applyFont="1" applyFill="1" applyBorder="1" applyAlignment="1">
      <alignment horizontal="justify" vertical="center"/>
    </xf>
    <xf numFmtId="167" fontId="34" fillId="28" borderId="1" xfId="12" applyNumberFormat="1" applyFont="1" applyFill="1" applyBorder="1"/>
    <xf numFmtId="167" fontId="34" fillId="6" borderId="1" xfId="12" applyNumberFormat="1" applyFont="1" applyFill="1" applyBorder="1"/>
    <xf numFmtId="167" fontId="27" fillId="32" borderId="1" xfId="12" applyNumberFormat="1" applyFont="1" applyFill="1" applyBorder="1"/>
    <xf numFmtId="167" fontId="24" fillId="27" borderId="1" xfId="12" applyNumberFormat="1" applyFont="1" applyFill="1" applyBorder="1"/>
    <xf numFmtId="167" fontId="34" fillId="25" borderId="1" xfId="12" applyNumberFormat="1" applyFont="1" applyFill="1" applyBorder="1"/>
    <xf numFmtId="167" fontId="35" fillId="29" borderId="1" xfId="12" applyNumberFormat="1" applyFont="1" applyFill="1" applyBorder="1"/>
    <xf numFmtId="49" fontId="13" fillId="9" borderId="1" xfId="0" applyNumberFormat="1" applyFont="1" applyFill="1" applyBorder="1" applyAlignment="1">
      <alignment horizontal="center" vertical="center"/>
    </xf>
    <xf numFmtId="2" fontId="13" fillId="9" borderId="5" xfId="0" applyNumberFormat="1" applyFont="1" applyFill="1" applyBorder="1" applyAlignment="1">
      <alignment horizontal="center" vertical="center"/>
    </xf>
    <xf numFmtId="2" fontId="13" fillId="9" borderId="6" xfId="0" applyNumberFormat="1" applyFont="1" applyFill="1" applyBorder="1" applyAlignment="1">
      <alignment horizontal="center" vertical="center"/>
    </xf>
    <xf numFmtId="41" fontId="13" fillId="9" borderId="10" xfId="13" applyFont="1" applyFill="1" applyBorder="1" applyAlignment="1">
      <alignment horizontal="center" vertical="center"/>
    </xf>
    <xf numFmtId="41" fontId="13" fillId="9" borderId="12" xfId="13" applyFont="1" applyFill="1" applyBorder="1" applyAlignment="1">
      <alignment horizontal="center" vertical="center"/>
    </xf>
    <xf numFmtId="41" fontId="13" fillId="9" borderId="1" xfId="13" applyFont="1" applyFill="1" applyBorder="1" applyAlignment="1">
      <alignment horizontal="center" vertical="center" wrapText="1"/>
    </xf>
    <xf numFmtId="41" fontId="13" fillId="9" borderId="11" xfId="13" applyFont="1" applyFill="1" applyBorder="1" applyAlignment="1">
      <alignment horizontal="center" vertical="center"/>
    </xf>
    <xf numFmtId="41" fontId="13" fillId="9" borderId="14" xfId="13" applyFont="1" applyFill="1" applyBorder="1" applyAlignment="1">
      <alignment horizontal="center" vertical="center"/>
    </xf>
    <xf numFmtId="1" fontId="13" fillId="9" borderId="1" xfId="0" applyNumberFormat="1" applyFont="1" applyFill="1" applyBorder="1" applyAlignment="1">
      <alignment horizontal="center" vertical="center" wrapText="1"/>
    </xf>
    <xf numFmtId="1" fontId="13" fillId="9" borderId="13" xfId="0" applyNumberFormat="1" applyFont="1" applyFill="1" applyBorder="1" applyAlignment="1">
      <alignment horizontal="center" vertical="center" wrapText="1"/>
    </xf>
    <xf numFmtId="49" fontId="13" fillId="9" borderId="11" xfId="0" applyNumberFormat="1" applyFont="1" applyFill="1" applyBorder="1" applyAlignment="1">
      <alignment horizontal="center" vertical="center"/>
    </xf>
    <xf numFmtId="49" fontId="13" fillId="9" borderId="14" xfId="0" applyNumberFormat="1" applyFont="1" applyFill="1" applyBorder="1" applyAlignment="1">
      <alignment horizontal="center" vertical="center"/>
    </xf>
    <xf numFmtId="49" fontId="13" fillId="9" borderId="10" xfId="0" applyNumberFormat="1" applyFont="1" applyFill="1" applyBorder="1" applyAlignment="1">
      <alignment horizontal="center" vertical="center"/>
    </xf>
    <xf numFmtId="49" fontId="13" fillId="9" borderId="12" xfId="0" applyNumberFormat="1" applyFont="1" applyFill="1" applyBorder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 wrapText="1"/>
    </xf>
    <xf numFmtId="41" fontId="13" fillId="9" borderId="19" xfId="13" applyFont="1" applyFill="1" applyBorder="1" applyAlignment="1">
      <alignment horizontal="center" vertical="center"/>
    </xf>
    <xf numFmtId="41" fontId="13" fillId="9" borderId="20" xfId="13" applyFont="1" applyFill="1" applyBorder="1" applyAlignment="1">
      <alignment horizontal="center" vertical="center"/>
    </xf>
    <xf numFmtId="41" fontId="13" fillId="9" borderId="10" xfId="13" applyFont="1" applyFill="1" applyBorder="1" applyAlignment="1">
      <alignment horizontal="center" vertical="center" wrapText="1"/>
    </xf>
    <xf numFmtId="41" fontId="13" fillId="9" borderId="12" xfId="13" applyFont="1" applyFill="1" applyBorder="1" applyAlignment="1">
      <alignment horizontal="center" vertical="center" wrapText="1"/>
    </xf>
    <xf numFmtId="41" fontId="13" fillId="9" borderId="11" xfId="13" applyFont="1" applyFill="1" applyBorder="1" applyAlignment="1">
      <alignment horizontal="center" vertical="center" wrapText="1"/>
    </xf>
    <xf numFmtId="41" fontId="13" fillId="9" borderId="14" xfId="13" applyFont="1" applyFill="1" applyBorder="1" applyAlignment="1">
      <alignment horizontal="center" vertical="center" wrapText="1"/>
    </xf>
    <xf numFmtId="0" fontId="13" fillId="34" borderId="23" xfId="0" applyFont="1" applyFill="1" applyBorder="1" applyAlignment="1">
      <alignment horizontal="center" vertical="center"/>
    </xf>
    <xf numFmtId="0" fontId="13" fillId="34" borderId="24" xfId="0" applyFont="1" applyFill="1" applyBorder="1" applyAlignment="1">
      <alignment horizontal="center" vertical="center"/>
    </xf>
    <xf numFmtId="41" fontId="13" fillId="9" borderId="15" xfId="13" applyFont="1" applyFill="1" applyBorder="1" applyAlignment="1">
      <alignment horizontal="center" vertical="center"/>
    </xf>
    <xf numFmtId="41" fontId="13" fillId="9" borderId="16" xfId="13" applyFont="1" applyFill="1" applyBorder="1" applyAlignment="1">
      <alignment horizontal="center" vertical="center"/>
    </xf>
    <xf numFmtId="41" fontId="13" fillId="9" borderId="17" xfId="13" applyFont="1" applyFill="1" applyBorder="1" applyAlignment="1">
      <alignment horizontal="center" vertical="center"/>
    </xf>
    <xf numFmtId="41" fontId="13" fillId="9" borderId="15" xfId="13" applyFont="1" applyFill="1" applyBorder="1" applyAlignment="1">
      <alignment horizontal="center" vertical="center" wrapText="1"/>
    </xf>
    <xf numFmtId="41" fontId="13" fillId="9" borderId="17" xfId="13" applyFont="1" applyFill="1" applyBorder="1" applyAlignment="1">
      <alignment horizontal="center" vertical="center" wrapText="1"/>
    </xf>
    <xf numFmtId="1" fontId="12" fillId="9" borderId="7" xfId="0" applyNumberFormat="1" applyFont="1" applyFill="1" applyBorder="1" applyAlignment="1">
      <alignment horizontal="center" vertical="center"/>
    </xf>
    <xf numFmtId="1" fontId="12" fillId="9" borderId="8" xfId="0" applyNumberFormat="1" applyFont="1" applyFill="1" applyBorder="1" applyAlignment="1">
      <alignment horizontal="center" vertical="center"/>
    </xf>
    <xf numFmtId="1" fontId="12" fillId="9" borderId="9" xfId="0" applyNumberFormat="1" applyFont="1" applyFill="1" applyBorder="1" applyAlignment="1">
      <alignment horizontal="center" vertical="center"/>
    </xf>
  </cellXfs>
  <cellStyles count="16">
    <cellStyle name="Millares" xfId="12" builtinId="3"/>
    <cellStyle name="Millares [0]" xfId="1" builtinId="6"/>
    <cellStyle name="Millares [0] 2" xfId="4" xr:uid="{C24EBF84-78D5-4746-ABA0-F22E8C0BD4A9}"/>
    <cellStyle name="Millares [0] 2 2" xfId="7" xr:uid="{69E5B278-2732-454F-BC83-B997E3E233F5}"/>
    <cellStyle name="Millares [0] 2 5" xfId="9" xr:uid="{BD990F94-0A55-49C2-9915-CFFE253BA83F}"/>
    <cellStyle name="Millares [0] 3" xfId="5" xr:uid="{571F9D8A-6343-42C7-BB89-F2E9E9EB8871}"/>
    <cellStyle name="Millares [0] 6" xfId="13" xr:uid="{F1C978A4-7A2C-42FD-B88B-B859ECAC727A}"/>
    <cellStyle name="Millares 2" xfId="11" xr:uid="{3AB212B9-ABA9-46A8-8888-524EBBC7DC8E}"/>
    <cellStyle name="Millares 2 2" xfId="3" xr:uid="{83E8F294-31E9-46EB-869E-57DBE23702C3}"/>
    <cellStyle name="Millares 2 2 2" xfId="6" xr:uid="{7AB57B5E-8BE3-45CE-A72A-3F2491349A84}"/>
    <cellStyle name="Millares 2 2 4" xfId="8" xr:uid="{38DEAA8A-862A-4A6B-81F7-BEF95E9C19C6}"/>
    <cellStyle name="Millares 3" xfId="10" xr:uid="{5A23FCDD-34E1-4175-A745-95BE7A0E624F}"/>
    <cellStyle name="Normal" xfId="0" builtinId="0"/>
    <cellStyle name="Normal 2 2" xfId="2" xr:uid="{F95C7EDD-20DF-4FE5-818B-D41C86D49871}"/>
    <cellStyle name="Normal_NECESIDAD2003" xfId="14" xr:uid="{D69C3F79-7341-43CE-9745-960B2601FF27}"/>
    <cellStyle name="Porcentaje" xfId="15" builtinId="5"/>
  </cellStyles>
  <dxfs count="154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39933"/>
      <color rgb="FFFF9966"/>
      <color rgb="FFFF3300"/>
      <color rgb="FF9966FF"/>
      <color rgb="FFFFFF00"/>
      <color rgb="FF0000FF"/>
      <color rgb="FFFFCC66"/>
      <color rgb="FFFF9933"/>
      <color rgb="FF993300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856455-7EED-4247-9D3C-AF67FC3EBAFB}">
  <sheetPr codeName="Hoja1"/>
  <dimension ref="A2:R922"/>
  <sheetViews>
    <sheetView showGridLines="0" tabSelected="1" zoomScale="90" zoomScaleNormal="90" workbookViewId="0">
      <pane ySplit="1" topLeftCell="G282" activePane="bottomLeft" state="frozen"/>
      <selection pane="bottomLeft" activeCell="P127" sqref="P127"/>
    </sheetView>
  </sheetViews>
  <sheetFormatPr defaultColWidth="11.42578125" defaultRowHeight="12"/>
  <cols>
    <col min="1" max="1" width="17.42578125" style="3" customWidth="1"/>
    <col min="2" max="2" width="25.5703125" style="123" customWidth="1"/>
    <col min="3" max="3" width="23.7109375" style="3" customWidth="1"/>
    <col min="4" max="4" width="10.140625" style="124" customWidth="1"/>
    <col min="5" max="5" width="43" style="3" customWidth="1"/>
    <col min="6" max="6" width="15.42578125" style="2" bestFit="1" customWidth="1"/>
    <col min="7" max="7" width="15.140625" style="3" customWidth="1"/>
    <col min="8" max="8" width="15" style="3" bestFit="1" customWidth="1"/>
    <col min="9" max="9" width="15.42578125" style="3" bestFit="1" customWidth="1"/>
    <col min="10" max="10" width="17.85546875" style="3" customWidth="1"/>
    <col min="11" max="11" width="17.28515625" style="3" customWidth="1"/>
    <col min="12" max="12" width="17.42578125" style="3" customWidth="1"/>
    <col min="13" max="13" width="14.42578125" style="3" customWidth="1"/>
    <col min="14" max="14" width="17" style="3" customWidth="1"/>
    <col min="15" max="15" width="11.42578125" style="147" customWidth="1"/>
    <col min="16" max="16" width="24.85546875" style="3" customWidth="1"/>
    <col min="17" max="17" width="11.42578125" style="181"/>
    <col min="18" max="18" width="11.42578125" style="3" bestFit="1" customWidth="1"/>
    <col min="19" max="16384" width="11.42578125" style="3"/>
  </cols>
  <sheetData>
    <row r="2" spans="1:18" ht="18.95" customHeight="1">
      <c r="A2" s="149"/>
      <c r="B2" s="149"/>
      <c r="C2" s="387" t="s">
        <v>0</v>
      </c>
      <c r="D2" s="387"/>
      <c r="E2" s="387"/>
      <c r="F2" s="387"/>
      <c r="G2" s="387"/>
      <c r="H2" s="387"/>
      <c r="I2" s="387"/>
      <c r="J2" s="387"/>
      <c r="K2" s="387"/>
      <c r="L2" s="387"/>
      <c r="M2" s="387"/>
      <c r="N2" s="387"/>
      <c r="O2" s="387"/>
    </row>
    <row r="3" spans="1:18" s="1" customFormat="1" ht="20.100000000000001" customHeight="1">
      <c r="A3" s="149"/>
      <c r="B3" s="149"/>
      <c r="C3" s="388" t="s">
        <v>1</v>
      </c>
      <c r="D3" s="388"/>
      <c r="E3" s="388"/>
      <c r="F3" s="388"/>
      <c r="G3" s="388"/>
      <c r="H3" s="388"/>
      <c r="I3" s="388"/>
      <c r="J3" s="388"/>
      <c r="K3" s="388"/>
      <c r="L3" s="388"/>
      <c r="M3" s="388"/>
      <c r="N3" s="388"/>
      <c r="O3" s="388"/>
      <c r="Q3" s="182"/>
    </row>
    <row r="4" spans="1:18" s="1" customFormat="1" ht="18.75">
      <c r="A4" s="17"/>
      <c r="B4" s="17"/>
      <c r="C4" s="389"/>
      <c r="D4" s="389"/>
      <c r="E4" s="389"/>
      <c r="F4" s="389"/>
      <c r="G4" s="389"/>
      <c r="H4" s="389"/>
      <c r="I4" s="389"/>
      <c r="J4" s="389"/>
      <c r="K4" s="389"/>
      <c r="L4" s="389"/>
      <c r="M4" s="389"/>
      <c r="N4" s="389"/>
      <c r="O4" s="389"/>
      <c r="Q4" s="182"/>
    </row>
    <row r="5" spans="1:18" s="1" customFormat="1" ht="18.75">
      <c r="A5" s="17"/>
      <c r="B5" s="17"/>
      <c r="C5" s="150"/>
      <c r="D5" s="150"/>
      <c r="E5" s="150"/>
      <c r="F5" s="150"/>
      <c r="G5" s="150"/>
      <c r="H5" s="150"/>
      <c r="I5" s="150"/>
      <c r="J5" s="150"/>
      <c r="K5" s="150"/>
      <c r="L5" s="153"/>
      <c r="M5" s="150"/>
      <c r="N5" s="150"/>
      <c r="O5" s="150"/>
      <c r="Q5" s="182"/>
    </row>
    <row r="6" spans="1:18" s="1" customFormat="1" ht="18.75">
      <c r="A6" s="17"/>
      <c r="B6" s="17"/>
      <c r="C6" s="150"/>
      <c r="D6" s="150"/>
      <c r="E6" s="150"/>
      <c r="F6" s="4">
        <f>+F7-F13</f>
        <v>230000000</v>
      </c>
      <c r="G6" s="4"/>
      <c r="H6" s="4"/>
      <c r="I6" s="4">
        <f t="shared" ref="I6:L6" si="0">+I7-I13</f>
        <v>-63985863205</v>
      </c>
      <c r="J6" s="4">
        <f t="shared" si="0"/>
        <v>-40171205595</v>
      </c>
      <c r="K6" s="4"/>
      <c r="L6" s="4">
        <f t="shared" si="0"/>
        <v>-33642501357</v>
      </c>
      <c r="M6" s="4"/>
      <c r="N6" s="4"/>
      <c r="O6" s="150"/>
      <c r="Q6" s="182"/>
    </row>
    <row r="7" spans="1:18" s="1" customFormat="1" ht="18.75">
      <c r="A7" s="146"/>
      <c r="B7" s="53"/>
      <c r="C7" s="146"/>
      <c r="D7" s="146"/>
      <c r="E7" s="146"/>
      <c r="F7" s="151">
        <v>517073579000</v>
      </c>
      <c r="G7" s="152"/>
      <c r="H7" s="151"/>
      <c r="I7" s="151">
        <v>548109089739</v>
      </c>
      <c r="J7" s="152">
        <v>412789651762</v>
      </c>
      <c r="K7" s="152"/>
      <c r="L7" s="152">
        <v>386305363495</v>
      </c>
      <c r="M7" s="152"/>
      <c r="N7" s="152"/>
      <c r="O7" s="148"/>
      <c r="Q7" s="182"/>
    </row>
    <row r="8" spans="1:18" s="1" customFormat="1" ht="18.75">
      <c r="A8" s="154"/>
      <c r="B8" s="155"/>
      <c r="C8" s="154"/>
      <c r="D8" s="156"/>
      <c r="E8" s="154"/>
      <c r="F8" s="4">
        <f>+F9-F13</f>
        <v>230000000</v>
      </c>
      <c r="G8" s="4">
        <f>+G9-G13</f>
        <v>-63985863205</v>
      </c>
      <c r="H8" s="4">
        <f t="shared" ref="H8:N8" si="1">+H9-H13</f>
        <v>-63465863205</v>
      </c>
      <c r="I8" s="4">
        <f t="shared" si="1"/>
        <v>-63985863205</v>
      </c>
      <c r="J8" s="4"/>
      <c r="K8" s="4">
        <f>+K9-K13</f>
        <v>19729861671</v>
      </c>
      <c r="L8" s="4">
        <f t="shared" si="1"/>
        <v>-33642501357</v>
      </c>
      <c r="M8" s="4">
        <f t="shared" si="1"/>
        <v>-3530247921</v>
      </c>
      <c r="N8" s="4">
        <f t="shared" si="1"/>
        <v>-42867262395</v>
      </c>
      <c r="O8" s="157"/>
      <c r="Q8" s="182"/>
    </row>
    <row r="9" spans="1:18" s="1" customFormat="1" ht="14.25">
      <c r="A9" s="54"/>
      <c r="B9" s="55"/>
      <c r="C9" s="56"/>
      <c r="D9" s="18"/>
      <c r="E9" s="18"/>
      <c r="F9" s="48">
        <v>517073579000</v>
      </c>
      <c r="G9" s="49">
        <v>0</v>
      </c>
      <c r="H9" s="48">
        <v>31035510739</v>
      </c>
      <c r="I9" s="48">
        <v>548109089739</v>
      </c>
      <c r="J9" s="49"/>
      <c r="K9" s="49">
        <v>53403113028</v>
      </c>
      <c r="L9" s="49">
        <v>386305363495</v>
      </c>
      <c r="M9" s="49">
        <v>39337378174</v>
      </c>
      <c r="N9" s="49">
        <v>296115059297</v>
      </c>
      <c r="O9" s="148"/>
      <c r="Q9" s="182"/>
    </row>
    <row r="10" spans="1:18" s="1" customFormat="1" ht="19.5" customHeight="1">
      <c r="A10" s="140"/>
      <c r="B10" s="141"/>
      <c r="C10" s="403" t="s">
        <v>2</v>
      </c>
      <c r="D10" s="404"/>
      <c r="E10" s="405"/>
      <c r="F10" s="398" t="s">
        <v>3</v>
      </c>
      <c r="G10" s="399"/>
      <c r="H10" s="399"/>
      <c r="I10" s="400"/>
      <c r="J10" s="145" t="s">
        <v>4</v>
      </c>
      <c r="K10" s="401" t="s">
        <v>5</v>
      </c>
      <c r="L10" s="402"/>
      <c r="M10" s="401" t="s">
        <v>6</v>
      </c>
      <c r="N10" s="402"/>
    </row>
    <row r="11" spans="1:18" ht="17.25" customHeight="1">
      <c r="A11" s="373" t="s">
        <v>7</v>
      </c>
      <c r="B11" s="374" t="s">
        <v>8</v>
      </c>
      <c r="C11" s="385" t="s">
        <v>9</v>
      </c>
      <c r="D11" s="381" t="s">
        <v>10</v>
      </c>
      <c r="E11" s="383" t="s">
        <v>11</v>
      </c>
      <c r="F11" s="376" t="s">
        <v>12</v>
      </c>
      <c r="G11" s="378" t="s">
        <v>13</v>
      </c>
      <c r="H11" s="378"/>
      <c r="I11" s="379" t="s">
        <v>14</v>
      </c>
      <c r="J11" s="390" t="s">
        <v>15</v>
      </c>
      <c r="K11" s="392" t="s">
        <v>16</v>
      </c>
      <c r="L11" s="394" t="s">
        <v>15</v>
      </c>
      <c r="M11" s="392" t="s">
        <v>16</v>
      </c>
      <c r="N11" s="394" t="s">
        <v>15</v>
      </c>
      <c r="O11" s="185"/>
      <c r="P11" s="396" t="s">
        <v>17</v>
      </c>
      <c r="Q11" s="397"/>
      <c r="R11" s="337" t="s">
        <v>18</v>
      </c>
    </row>
    <row r="12" spans="1:18" s="175" customFormat="1" ht="12" customHeight="1">
      <c r="A12" s="373"/>
      <c r="B12" s="375"/>
      <c r="C12" s="386"/>
      <c r="D12" s="382"/>
      <c r="E12" s="384"/>
      <c r="F12" s="377"/>
      <c r="G12" s="144" t="s">
        <v>16</v>
      </c>
      <c r="H12" s="144" t="s">
        <v>15</v>
      </c>
      <c r="I12" s="380"/>
      <c r="J12" s="391"/>
      <c r="K12" s="393"/>
      <c r="L12" s="395"/>
      <c r="M12" s="393"/>
      <c r="N12" s="395"/>
      <c r="O12" s="184" t="s">
        <v>19</v>
      </c>
      <c r="P12" s="164" t="s">
        <v>20</v>
      </c>
      <c r="Q12" s="183" t="s">
        <v>21</v>
      </c>
      <c r="R12" s="338" t="s">
        <v>20</v>
      </c>
    </row>
    <row r="13" spans="1:18" s="175" customFormat="1">
      <c r="A13" s="57"/>
      <c r="B13" s="58">
        <v>3</v>
      </c>
      <c r="C13" s="142"/>
      <c r="D13" s="143"/>
      <c r="E13" s="142" t="s">
        <v>22</v>
      </c>
      <c r="F13" s="142">
        <f>+F14+F900</f>
        <v>516843579000</v>
      </c>
      <c r="G13" s="142">
        <f>+G14+G900</f>
        <v>63985863205</v>
      </c>
      <c r="H13" s="142">
        <f>+H14+H900</f>
        <v>94501373944</v>
      </c>
      <c r="I13" s="142">
        <f>+I14+I900</f>
        <v>612094952944</v>
      </c>
      <c r="J13" s="142">
        <f>+J14+J900</f>
        <v>452960857357</v>
      </c>
      <c r="K13" s="142">
        <f>+K14+K900</f>
        <v>33673251357</v>
      </c>
      <c r="L13" s="142">
        <f>+L14+L900</f>
        <v>419947864852</v>
      </c>
      <c r="M13" s="142">
        <f>+M14+M900</f>
        <v>42867626095</v>
      </c>
      <c r="N13" s="142">
        <f>+N14+N900</f>
        <v>338982321692</v>
      </c>
      <c r="O13" s="188">
        <v>0.68610000000000004</v>
      </c>
      <c r="P13" s="142">
        <f>+P14+P900</f>
        <v>647514069008.13989</v>
      </c>
      <c r="Q13" s="183">
        <f>+(P13-I13)/P13</f>
        <v>5.4700149015132274E-2</v>
      </c>
      <c r="R13" s="339">
        <f>+R14+R900</f>
        <v>632178468564.19995</v>
      </c>
    </row>
    <row r="14" spans="1:18" s="175" customFormat="1">
      <c r="A14" s="19" t="s">
        <v>23</v>
      </c>
      <c r="B14" s="59" t="s">
        <v>24</v>
      </c>
      <c r="C14" s="19" t="s">
        <v>25</v>
      </c>
      <c r="D14" s="60"/>
      <c r="E14" s="19" t="s">
        <v>26</v>
      </c>
      <c r="F14" s="6">
        <f>+F15+F351+F863+F881+F887</f>
        <v>479086495000</v>
      </c>
      <c r="G14" s="189">
        <v>58660649205</v>
      </c>
      <c r="H14" s="6">
        <f>+H15+H351+H863+H881+H887</f>
        <v>77741923135</v>
      </c>
      <c r="I14" s="6">
        <f>+I15+I351+I863+I881+I887</f>
        <v>556828418135</v>
      </c>
      <c r="J14" s="6">
        <f>+J15+J351+J863+J881+J887</f>
        <v>414857075901</v>
      </c>
      <c r="K14" s="189">
        <v>30689430627</v>
      </c>
      <c r="L14" s="6">
        <f>+L15+L351+L863+L881+L887</f>
        <v>390829619123</v>
      </c>
      <c r="M14" s="189">
        <v>40861488942</v>
      </c>
      <c r="N14" s="6">
        <f>+N15+N351+N863+N881+N887</f>
        <v>328158179182</v>
      </c>
      <c r="O14" s="190">
        <v>0.70189999999999997</v>
      </c>
      <c r="P14" s="6">
        <f>+P15+P351+P863+P881+P887</f>
        <v>647514069008.13989</v>
      </c>
      <c r="Q14" s="183">
        <f t="shared" ref="Q14:Q77" si="2">+(P14-I14)/P14</f>
        <v>0.14005201618561261</v>
      </c>
      <c r="R14" s="340">
        <f>+R15+R351+R863+R881+R887</f>
        <v>632178468564.19995</v>
      </c>
    </row>
    <row r="15" spans="1:18" s="175" customFormat="1">
      <c r="A15" s="61" t="s">
        <v>27</v>
      </c>
      <c r="B15" s="61" t="s">
        <v>28</v>
      </c>
      <c r="C15" s="61" t="s">
        <v>29</v>
      </c>
      <c r="D15" s="61"/>
      <c r="E15" s="61" t="s">
        <v>30</v>
      </c>
      <c r="F15" s="62">
        <f t="shared" ref="F15:P15" si="3">+F16+F136</f>
        <v>294054248000</v>
      </c>
      <c r="G15" s="193">
        <v>4857208590</v>
      </c>
      <c r="H15" s="62">
        <f t="shared" si="3"/>
        <v>13922741919</v>
      </c>
      <c r="I15" s="62">
        <f t="shared" si="3"/>
        <v>307976989919</v>
      </c>
      <c r="J15" s="62">
        <f t="shared" si="3"/>
        <v>228737263219</v>
      </c>
      <c r="K15" s="193">
        <v>17937396817</v>
      </c>
      <c r="L15" s="62">
        <f t="shared" si="3"/>
        <v>214424855719</v>
      </c>
      <c r="M15" s="193">
        <v>24210055407</v>
      </c>
      <c r="N15" s="62">
        <f t="shared" si="3"/>
        <v>187113788816</v>
      </c>
      <c r="O15" s="194">
        <v>0.69620000000000004</v>
      </c>
      <c r="P15" s="62">
        <f t="shared" si="3"/>
        <v>351941281106.80994</v>
      </c>
      <c r="Q15" s="183">
        <f t="shared" si="2"/>
        <v>0.12491939294403859</v>
      </c>
      <c r="R15" s="341">
        <f>+R16+R136</f>
        <v>336605680662.86993</v>
      </c>
    </row>
    <row r="16" spans="1:18">
      <c r="A16" s="63" t="s">
        <v>31</v>
      </c>
      <c r="B16" s="63" t="s">
        <v>32</v>
      </c>
      <c r="C16" s="63" t="s">
        <v>33</v>
      </c>
      <c r="D16" s="63"/>
      <c r="E16" s="63" t="s">
        <v>34</v>
      </c>
      <c r="F16" s="64">
        <f t="shared" ref="F16:P16" si="4">+F17+F61+F100</f>
        <v>220530664000</v>
      </c>
      <c r="G16" s="195" t="s">
        <v>35</v>
      </c>
      <c r="H16" s="64">
        <f t="shared" si="4"/>
        <v>-5309289083</v>
      </c>
      <c r="I16" s="64">
        <f t="shared" si="4"/>
        <v>215221374917</v>
      </c>
      <c r="J16" s="64">
        <f t="shared" si="4"/>
        <v>139128955861</v>
      </c>
      <c r="K16" s="196">
        <v>13977664358</v>
      </c>
      <c r="L16" s="64">
        <f t="shared" si="4"/>
        <v>138142825197</v>
      </c>
      <c r="M16" s="196">
        <v>14077500475</v>
      </c>
      <c r="N16" s="64">
        <f t="shared" si="4"/>
        <v>133651369775</v>
      </c>
      <c r="O16" s="197">
        <v>0.64190000000000003</v>
      </c>
      <c r="P16" s="64">
        <f t="shared" si="4"/>
        <v>252874592682.86993</v>
      </c>
      <c r="Q16" s="183">
        <f t="shared" si="2"/>
        <v>0.14890075498051653</v>
      </c>
      <c r="R16" s="342">
        <f>+R17+R61+R100</f>
        <v>252874592682.86993</v>
      </c>
    </row>
    <row r="17" spans="1:18">
      <c r="A17" s="65" t="s">
        <v>36</v>
      </c>
      <c r="B17" s="65" t="s">
        <v>37</v>
      </c>
      <c r="C17" s="65" t="s">
        <v>38</v>
      </c>
      <c r="D17" s="65"/>
      <c r="E17" s="65" t="s">
        <v>39</v>
      </c>
      <c r="F17" s="198">
        <v>160138725000</v>
      </c>
      <c r="G17" s="199" t="s">
        <v>35</v>
      </c>
      <c r="H17" s="200">
        <v>-4139489519</v>
      </c>
      <c r="I17" s="200">
        <v>155995482035</v>
      </c>
      <c r="J17" s="200">
        <v>98302720827</v>
      </c>
      <c r="K17" s="200">
        <v>10224043872</v>
      </c>
      <c r="L17" s="200">
        <v>97416141196</v>
      </c>
      <c r="M17" s="200">
        <v>10320492735</v>
      </c>
      <c r="N17" s="200">
        <v>97398142457</v>
      </c>
      <c r="O17" s="201">
        <v>0.62450000000000006</v>
      </c>
      <c r="P17" s="66">
        <f t="shared" ref="H17:P17" si="5">+P18+P52</f>
        <v>183865601917.49994</v>
      </c>
      <c r="Q17" s="183">
        <f t="shared" si="2"/>
        <v>0.1515787596584009</v>
      </c>
      <c r="R17" s="343">
        <f>+R18+R52</f>
        <v>183865601917.49994</v>
      </c>
    </row>
    <row r="18" spans="1:18">
      <c r="A18" s="67" t="s">
        <v>40</v>
      </c>
      <c r="B18" s="68"/>
      <c r="C18" s="69" t="s">
        <v>41</v>
      </c>
      <c r="D18" s="70"/>
      <c r="E18" s="27" t="s">
        <v>42</v>
      </c>
      <c r="F18" s="202">
        <v>149308100000</v>
      </c>
      <c r="G18" s="203" t="s">
        <v>35</v>
      </c>
      <c r="H18" s="204">
        <v>-4395325049</v>
      </c>
      <c r="I18" s="204">
        <v>144909021505</v>
      </c>
      <c r="J18" s="204">
        <v>87905559121</v>
      </c>
      <c r="K18" s="204">
        <v>10113504704</v>
      </c>
      <c r="L18" s="204">
        <v>87208748110</v>
      </c>
      <c r="M18" s="204">
        <v>10192117761</v>
      </c>
      <c r="N18" s="204">
        <v>87197682553</v>
      </c>
      <c r="O18" s="205">
        <v>0.6018</v>
      </c>
      <c r="P18" s="71">
        <f t="shared" ref="G18:P18" si="6">+P19+P24+P27+P30+P33+P36+P40+P49</f>
        <v>170051050079.34995</v>
      </c>
      <c r="Q18" s="183">
        <f t="shared" si="2"/>
        <v>0.14784988721103495</v>
      </c>
      <c r="R18" s="344">
        <f>+R19+R24+R27+R30+R33+R36+R40+R49</f>
        <v>170051050079.34995</v>
      </c>
    </row>
    <row r="19" spans="1:18" s="175" customFormat="1">
      <c r="A19" s="72" t="s">
        <v>43</v>
      </c>
      <c r="B19" s="73" t="s">
        <v>44</v>
      </c>
      <c r="C19" s="74" t="s">
        <v>45</v>
      </c>
      <c r="D19" s="75"/>
      <c r="E19" s="20" t="s">
        <v>46</v>
      </c>
      <c r="F19" s="206">
        <v>120951300000</v>
      </c>
      <c r="G19" s="207" t="s">
        <v>35</v>
      </c>
      <c r="H19" s="208">
        <v>-4363115530</v>
      </c>
      <c r="I19" s="208">
        <v>116584431024</v>
      </c>
      <c r="J19" s="208">
        <v>81316449034</v>
      </c>
      <c r="K19" s="208">
        <v>9016117568</v>
      </c>
      <c r="L19" s="208">
        <v>80955661122</v>
      </c>
      <c r="M19" s="208">
        <v>9068375952</v>
      </c>
      <c r="N19" s="208">
        <v>80953743613</v>
      </c>
      <c r="O19" s="209">
        <v>0.69440000000000002</v>
      </c>
      <c r="P19" s="76">
        <f t="shared" ref="G19:P19" si="7">+P20</f>
        <v>137847199367.67999</v>
      </c>
      <c r="Q19" s="183">
        <f t="shared" si="2"/>
        <v>0.15424882363381054</v>
      </c>
      <c r="R19" s="345">
        <f>+R20</f>
        <v>137847199367.67999</v>
      </c>
    </row>
    <row r="20" spans="1:18" s="175" customFormat="1">
      <c r="A20" s="21"/>
      <c r="B20" s="77" t="s">
        <v>44</v>
      </c>
      <c r="C20" s="21" t="s">
        <v>45</v>
      </c>
      <c r="D20" s="78"/>
      <c r="E20" s="21" t="s">
        <v>47</v>
      </c>
      <c r="F20" s="211">
        <v>120951300000</v>
      </c>
      <c r="G20" s="212" t="s">
        <v>48</v>
      </c>
      <c r="H20" s="213">
        <v>-4363115530</v>
      </c>
      <c r="I20" s="213">
        <v>116584431024</v>
      </c>
      <c r="J20" s="213">
        <v>81316449034</v>
      </c>
      <c r="K20" s="213">
        <v>9016117568</v>
      </c>
      <c r="L20" s="213">
        <v>80955661122</v>
      </c>
      <c r="M20" s="213">
        <v>9068375952</v>
      </c>
      <c r="N20" s="213">
        <v>80953743613</v>
      </c>
      <c r="O20" s="214">
        <v>0.69440000000000002</v>
      </c>
      <c r="P20" s="7">
        <f t="shared" ref="G20:P20" si="8">SUM(P21:P23)</f>
        <v>137847199367.67999</v>
      </c>
      <c r="Q20" s="183">
        <f t="shared" si="2"/>
        <v>0.15424882363381054</v>
      </c>
      <c r="R20" s="346">
        <f>SUM(R21:R23)</f>
        <v>137847199367.67999</v>
      </c>
    </row>
    <row r="21" spans="1:18" s="176" customFormat="1">
      <c r="A21" s="10"/>
      <c r="B21" s="14" t="s">
        <v>49</v>
      </c>
      <c r="C21" s="10" t="s">
        <v>50</v>
      </c>
      <c r="D21" s="25" t="s">
        <v>51</v>
      </c>
      <c r="E21" s="9" t="s">
        <v>52</v>
      </c>
      <c r="F21" s="216">
        <v>16199300000</v>
      </c>
      <c r="G21" s="217" t="s">
        <v>48</v>
      </c>
      <c r="H21" s="218">
        <v>-1431303533</v>
      </c>
      <c r="I21" s="218">
        <v>14767996467</v>
      </c>
      <c r="J21" s="218">
        <v>10009700926</v>
      </c>
      <c r="K21" s="218">
        <v>1178483150</v>
      </c>
      <c r="L21" s="218">
        <v>9904345005</v>
      </c>
      <c r="M21" s="218">
        <v>1182619020</v>
      </c>
      <c r="N21" s="218">
        <v>9904345005</v>
      </c>
      <c r="O21" s="219">
        <v>0.67069999999999996</v>
      </c>
      <c r="P21" s="8">
        <v>17229718675.389999</v>
      </c>
      <c r="Q21" s="183">
        <f t="shared" si="2"/>
        <v>0.14287651787989961</v>
      </c>
      <c r="R21" s="347">
        <v>17229718675.389999</v>
      </c>
    </row>
    <row r="22" spans="1:18" s="177" customFormat="1">
      <c r="A22" s="10"/>
      <c r="B22" s="14" t="s">
        <v>53</v>
      </c>
      <c r="C22" s="10" t="s">
        <v>54</v>
      </c>
      <c r="D22" s="25" t="s">
        <v>55</v>
      </c>
      <c r="E22" s="9" t="s">
        <v>56</v>
      </c>
      <c r="F22" s="216">
        <v>103229500000</v>
      </c>
      <c r="G22" s="217" t="s">
        <v>48</v>
      </c>
      <c r="H22" s="218">
        <v>-3015494326</v>
      </c>
      <c r="I22" s="218">
        <v>100214005674</v>
      </c>
      <c r="J22" s="218">
        <v>70179190428</v>
      </c>
      <c r="K22" s="218">
        <v>7721134003</v>
      </c>
      <c r="L22" s="218">
        <v>69939910037</v>
      </c>
      <c r="M22" s="218">
        <v>7769256517</v>
      </c>
      <c r="N22" s="218">
        <v>69937992528</v>
      </c>
      <c r="O22" s="219">
        <v>0.69789999999999996</v>
      </c>
      <c r="P22" s="8">
        <v>119040610670.33</v>
      </c>
      <c r="Q22" s="183">
        <f t="shared" si="2"/>
        <v>0.15815279248245989</v>
      </c>
      <c r="R22" s="347">
        <v>119040610670.33</v>
      </c>
    </row>
    <row r="23" spans="1:18" s="176" customFormat="1">
      <c r="A23" s="10"/>
      <c r="B23" s="14" t="s">
        <v>57</v>
      </c>
      <c r="C23" s="10" t="s">
        <v>58</v>
      </c>
      <c r="D23" s="25" t="s">
        <v>59</v>
      </c>
      <c r="E23" s="9" t="s">
        <v>60</v>
      </c>
      <c r="F23" s="216">
        <v>1522500000</v>
      </c>
      <c r="G23" s="217" t="s">
        <v>48</v>
      </c>
      <c r="H23" s="218">
        <v>83682329</v>
      </c>
      <c r="I23" s="218">
        <v>1602428883</v>
      </c>
      <c r="J23" s="218">
        <v>1127557680</v>
      </c>
      <c r="K23" s="218">
        <v>116500415</v>
      </c>
      <c r="L23" s="218">
        <v>1111406080</v>
      </c>
      <c r="M23" s="218">
        <v>116500415</v>
      </c>
      <c r="N23" s="218">
        <v>1111406080</v>
      </c>
      <c r="O23" s="219">
        <v>0.69359999999999999</v>
      </c>
      <c r="P23" s="8">
        <v>1576870021.96</v>
      </c>
      <c r="Q23" s="183">
        <f t="shared" si="2"/>
        <v>-1.6208603552644814E-2</v>
      </c>
      <c r="R23" s="347">
        <v>1576870021.96</v>
      </c>
    </row>
    <row r="24" spans="1:18" s="175" customFormat="1">
      <c r="A24" s="72" t="s">
        <v>61</v>
      </c>
      <c r="B24" s="73" t="s">
        <v>62</v>
      </c>
      <c r="C24" s="74" t="s">
        <v>63</v>
      </c>
      <c r="D24" s="75"/>
      <c r="E24" s="20" t="s">
        <v>64</v>
      </c>
      <c r="F24" s="206">
        <v>184100000</v>
      </c>
      <c r="G24" s="207" t="s">
        <v>35</v>
      </c>
      <c r="H24" s="208">
        <v>11083725</v>
      </c>
      <c r="I24" s="208">
        <v>195183725</v>
      </c>
      <c r="J24" s="208">
        <v>146411050</v>
      </c>
      <c r="K24" s="208">
        <v>10563441</v>
      </c>
      <c r="L24" s="208">
        <v>144199545</v>
      </c>
      <c r="M24" s="208">
        <v>10563441</v>
      </c>
      <c r="N24" s="208">
        <v>144199545</v>
      </c>
      <c r="O24" s="209">
        <v>0.73880000000000001</v>
      </c>
      <c r="P24" s="76">
        <f t="shared" ref="G24:P25" si="9">+P25</f>
        <v>232386029.91</v>
      </c>
      <c r="Q24" s="183">
        <f t="shared" si="2"/>
        <v>0.16008838794831148</v>
      </c>
      <c r="R24" s="345">
        <f>+R25</f>
        <v>232386029.91</v>
      </c>
    </row>
    <row r="25" spans="1:18" s="175" customFormat="1">
      <c r="A25" s="21" t="s">
        <v>61</v>
      </c>
      <c r="B25" s="77" t="s">
        <v>62</v>
      </c>
      <c r="C25" s="21" t="s">
        <v>63</v>
      </c>
      <c r="D25" s="78"/>
      <c r="E25" s="21" t="s">
        <v>64</v>
      </c>
      <c r="F25" s="211">
        <v>184100000</v>
      </c>
      <c r="G25" s="212" t="s">
        <v>48</v>
      </c>
      <c r="H25" s="213">
        <v>11083725</v>
      </c>
      <c r="I25" s="213">
        <v>195183725</v>
      </c>
      <c r="J25" s="213">
        <v>146411050</v>
      </c>
      <c r="K25" s="213">
        <v>10563441</v>
      </c>
      <c r="L25" s="213">
        <v>144199545</v>
      </c>
      <c r="M25" s="213">
        <v>10563441</v>
      </c>
      <c r="N25" s="213">
        <v>144199545</v>
      </c>
      <c r="O25" s="214">
        <v>0.73880000000000001</v>
      </c>
      <c r="P25" s="7">
        <f t="shared" si="9"/>
        <v>232386029.91</v>
      </c>
      <c r="Q25" s="183">
        <f t="shared" si="2"/>
        <v>0.16008838794831148</v>
      </c>
      <c r="R25" s="346">
        <f>+R26</f>
        <v>232386029.91</v>
      </c>
    </row>
    <row r="26" spans="1:18" s="176" customFormat="1">
      <c r="A26" s="10"/>
      <c r="B26" s="14" t="s">
        <v>65</v>
      </c>
      <c r="C26" s="10" t="s">
        <v>66</v>
      </c>
      <c r="D26" s="25" t="s">
        <v>51</v>
      </c>
      <c r="E26" s="9" t="s">
        <v>67</v>
      </c>
      <c r="F26" s="216">
        <v>184100000</v>
      </c>
      <c r="G26" s="217" t="s">
        <v>48</v>
      </c>
      <c r="H26" s="218">
        <v>11083725</v>
      </c>
      <c r="I26" s="218">
        <v>195183725</v>
      </c>
      <c r="J26" s="218">
        <v>146411050</v>
      </c>
      <c r="K26" s="218">
        <v>10563441</v>
      </c>
      <c r="L26" s="218">
        <v>144199545</v>
      </c>
      <c r="M26" s="218">
        <v>10563441</v>
      </c>
      <c r="N26" s="218">
        <v>144199545</v>
      </c>
      <c r="O26" s="219">
        <v>0.73880000000000001</v>
      </c>
      <c r="P26" s="8">
        <v>232386029.91</v>
      </c>
      <c r="Q26" s="183">
        <f t="shared" si="2"/>
        <v>0.16008838794831148</v>
      </c>
      <c r="R26" s="347">
        <v>232386029.91</v>
      </c>
    </row>
    <row r="27" spans="1:18" s="175" customFormat="1">
      <c r="A27" s="72" t="s">
        <v>68</v>
      </c>
      <c r="B27" s="73" t="s">
        <v>69</v>
      </c>
      <c r="C27" s="74" t="s">
        <v>70</v>
      </c>
      <c r="D27" s="75"/>
      <c r="E27" s="20" t="s">
        <v>71</v>
      </c>
      <c r="F27" s="206">
        <v>805700000</v>
      </c>
      <c r="G27" s="207" t="s">
        <v>35</v>
      </c>
      <c r="H27" s="208">
        <v>-85735811</v>
      </c>
      <c r="I27" s="208">
        <v>719964189</v>
      </c>
      <c r="J27" s="208">
        <v>496272104</v>
      </c>
      <c r="K27" s="208">
        <v>44959098</v>
      </c>
      <c r="L27" s="208">
        <v>496272104</v>
      </c>
      <c r="M27" s="208">
        <v>44959098</v>
      </c>
      <c r="N27" s="208">
        <v>496272104</v>
      </c>
      <c r="O27" s="209">
        <v>0.68930000000000002</v>
      </c>
      <c r="P27" s="76">
        <f t="shared" ref="G27:P28" si="10">+P28</f>
        <v>879556219.54999995</v>
      </c>
      <c r="Q27" s="183">
        <f t="shared" si="2"/>
        <v>0.18144608269798909</v>
      </c>
      <c r="R27" s="345">
        <f>+R28</f>
        <v>879556219.54999995</v>
      </c>
    </row>
    <row r="28" spans="1:18" s="175" customFormat="1">
      <c r="A28" s="21" t="s">
        <v>68</v>
      </c>
      <c r="B28" s="77" t="s">
        <v>69</v>
      </c>
      <c r="C28" s="21" t="s">
        <v>70</v>
      </c>
      <c r="D28" s="78"/>
      <c r="E28" s="21" t="s">
        <v>71</v>
      </c>
      <c r="F28" s="211">
        <v>805700000</v>
      </c>
      <c r="G28" s="212" t="s">
        <v>48</v>
      </c>
      <c r="H28" s="213">
        <v>-85735811</v>
      </c>
      <c r="I28" s="213">
        <v>719964189</v>
      </c>
      <c r="J28" s="213">
        <v>496272104</v>
      </c>
      <c r="K28" s="213">
        <v>44959098</v>
      </c>
      <c r="L28" s="213">
        <v>496272104</v>
      </c>
      <c r="M28" s="213">
        <v>44959098</v>
      </c>
      <c r="N28" s="213">
        <v>496272104</v>
      </c>
      <c r="O28" s="214">
        <v>0.68930000000000002</v>
      </c>
      <c r="P28" s="7">
        <f t="shared" si="10"/>
        <v>879556219.54999995</v>
      </c>
      <c r="Q28" s="183">
        <f t="shared" si="2"/>
        <v>0.18144608269798909</v>
      </c>
      <c r="R28" s="346">
        <f>+R29</f>
        <v>879556219.54999995</v>
      </c>
    </row>
    <row r="29" spans="1:18" s="177" customFormat="1">
      <c r="A29" s="10"/>
      <c r="B29" s="14" t="s">
        <v>72</v>
      </c>
      <c r="C29" s="10" t="s">
        <v>73</v>
      </c>
      <c r="D29" s="25" t="s">
        <v>51</v>
      </c>
      <c r="E29" s="9" t="s">
        <v>74</v>
      </c>
      <c r="F29" s="216">
        <v>805700000</v>
      </c>
      <c r="G29" s="217" t="s">
        <v>48</v>
      </c>
      <c r="H29" s="218">
        <v>-85735811</v>
      </c>
      <c r="I29" s="218">
        <v>719964189</v>
      </c>
      <c r="J29" s="218">
        <v>496272104</v>
      </c>
      <c r="K29" s="218">
        <v>44959098</v>
      </c>
      <c r="L29" s="218">
        <v>496272104</v>
      </c>
      <c r="M29" s="218">
        <v>44959098</v>
      </c>
      <c r="N29" s="218">
        <v>496272104</v>
      </c>
      <c r="O29" s="219">
        <v>0.68930000000000002</v>
      </c>
      <c r="P29" s="8">
        <v>879556219.54999995</v>
      </c>
      <c r="Q29" s="183">
        <f t="shared" si="2"/>
        <v>0.18144608269798909</v>
      </c>
      <c r="R29" s="347">
        <v>879556219.54999995</v>
      </c>
    </row>
    <row r="30" spans="1:18" s="175" customFormat="1">
      <c r="A30" s="72" t="s">
        <v>75</v>
      </c>
      <c r="B30" s="73" t="s">
        <v>76</v>
      </c>
      <c r="C30" s="74" t="s">
        <v>77</v>
      </c>
      <c r="D30" s="75"/>
      <c r="E30" s="20" t="s">
        <v>78</v>
      </c>
      <c r="F30" s="206">
        <v>85300000</v>
      </c>
      <c r="G30" s="207" t="s">
        <v>35</v>
      </c>
      <c r="H30" s="208">
        <v>4422203</v>
      </c>
      <c r="I30" s="208">
        <v>89722203</v>
      </c>
      <c r="J30" s="208">
        <v>63079763</v>
      </c>
      <c r="K30" s="208">
        <v>6407449</v>
      </c>
      <c r="L30" s="208">
        <v>63079763</v>
      </c>
      <c r="M30" s="208">
        <v>6407449</v>
      </c>
      <c r="N30" s="208">
        <v>63079763</v>
      </c>
      <c r="O30" s="209">
        <v>0.70309999999999995</v>
      </c>
      <c r="P30" s="76">
        <f t="shared" ref="G30:P31" si="11">+P31</f>
        <v>89520736.799999997</v>
      </c>
      <c r="Q30" s="183">
        <f t="shared" si="2"/>
        <v>-2.2504975629289389E-3</v>
      </c>
      <c r="R30" s="345">
        <f>+R31</f>
        <v>89520736.799999997</v>
      </c>
    </row>
    <row r="31" spans="1:18" s="175" customFormat="1">
      <c r="A31" s="21" t="s">
        <v>75</v>
      </c>
      <c r="B31" s="77" t="s">
        <v>76</v>
      </c>
      <c r="C31" s="21" t="s">
        <v>77</v>
      </c>
      <c r="D31" s="78"/>
      <c r="E31" s="21" t="s">
        <v>78</v>
      </c>
      <c r="F31" s="211">
        <v>85300000</v>
      </c>
      <c r="G31" s="212" t="s">
        <v>48</v>
      </c>
      <c r="H31" s="213">
        <v>4422203</v>
      </c>
      <c r="I31" s="213">
        <v>89722203</v>
      </c>
      <c r="J31" s="213">
        <v>63079763</v>
      </c>
      <c r="K31" s="213">
        <v>6407449</v>
      </c>
      <c r="L31" s="213">
        <v>63079763</v>
      </c>
      <c r="M31" s="213">
        <v>6407449</v>
      </c>
      <c r="N31" s="213">
        <v>63079763</v>
      </c>
      <c r="O31" s="214">
        <v>0.70309999999999995</v>
      </c>
      <c r="P31" s="7">
        <f t="shared" si="11"/>
        <v>89520736.799999997</v>
      </c>
      <c r="Q31" s="183">
        <f t="shared" si="2"/>
        <v>-2.2504975629289389E-3</v>
      </c>
      <c r="R31" s="346">
        <f>+R32</f>
        <v>89520736.799999997</v>
      </c>
    </row>
    <row r="32" spans="1:18" s="176" customFormat="1">
      <c r="A32" s="10" t="s">
        <v>75</v>
      </c>
      <c r="B32" s="14" t="s">
        <v>79</v>
      </c>
      <c r="C32" s="10" t="s">
        <v>77</v>
      </c>
      <c r="D32" s="25" t="s">
        <v>59</v>
      </c>
      <c r="E32" s="9" t="s">
        <v>78</v>
      </c>
      <c r="F32" s="216">
        <v>85300000</v>
      </c>
      <c r="G32" s="217" t="s">
        <v>48</v>
      </c>
      <c r="H32" s="218">
        <v>4422203</v>
      </c>
      <c r="I32" s="218">
        <v>89722203</v>
      </c>
      <c r="J32" s="218">
        <v>63079763</v>
      </c>
      <c r="K32" s="218">
        <v>6407449</v>
      </c>
      <c r="L32" s="218">
        <v>63079763</v>
      </c>
      <c r="M32" s="218">
        <v>6407449</v>
      </c>
      <c r="N32" s="218">
        <v>63079763</v>
      </c>
      <c r="O32" s="219">
        <v>0.70309999999999995</v>
      </c>
      <c r="P32" s="8">
        <v>89520736.799999997</v>
      </c>
      <c r="Q32" s="183">
        <f t="shared" si="2"/>
        <v>-2.2504975629289389E-3</v>
      </c>
      <c r="R32" s="347">
        <v>89520736.799999997</v>
      </c>
    </row>
    <row r="33" spans="1:18" s="175" customFormat="1">
      <c r="A33" s="72" t="s">
        <v>80</v>
      </c>
      <c r="B33" s="73" t="s">
        <v>81</v>
      </c>
      <c r="C33" s="74" t="s">
        <v>82</v>
      </c>
      <c r="D33" s="75"/>
      <c r="E33" s="20" t="s">
        <v>83</v>
      </c>
      <c r="F33" s="206">
        <v>82600000</v>
      </c>
      <c r="G33" s="207" t="s">
        <v>35</v>
      </c>
      <c r="H33" s="208">
        <v>3690088</v>
      </c>
      <c r="I33" s="208">
        <v>86290088</v>
      </c>
      <c r="J33" s="208">
        <v>60666794</v>
      </c>
      <c r="K33" s="208">
        <v>6162347</v>
      </c>
      <c r="L33" s="208">
        <v>60666794</v>
      </c>
      <c r="M33" s="208">
        <v>6162347</v>
      </c>
      <c r="N33" s="208">
        <v>60666794</v>
      </c>
      <c r="O33" s="209">
        <v>0.70309999999999995</v>
      </c>
      <c r="P33" s="76">
        <f t="shared" ref="G33:P34" si="12">+P34</f>
        <v>92533457.400000006</v>
      </c>
      <c r="Q33" s="183">
        <f t="shared" si="2"/>
        <v>6.7471480861364702E-2</v>
      </c>
      <c r="R33" s="345">
        <f>+R34</f>
        <v>92533457.400000006</v>
      </c>
    </row>
    <row r="34" spans="1:18" s="175" customFormat="1">
      <c r="A34" s="21" t="s">
        <v>80</v>
      </c>
      <c r="B34" s="77" t="s">
        <v>81</v>
      </c>
      <c r="C34" s="21" t="s">
        <v>82</v>
      </c>
      <c r="D34" s="78"/>
      <c r="E34" s="21" t="s">
        <v>83</v>
      </c>
      <c r="F34" s="211">
        <v>82600000</v>
      </c>
      <c r="G34" s="212" t="s">
        <v>48</v>
      </c>
      <c r="H34" s="213">
        <v>3690088</v>
      </c>
      <c r="I34" s="213">
        <v>86290088</v>
      </c>
      <c r="J34" s="213">
        <v>60666794</v>
      </c>
      <c r="K34" s="213">
        <v>6162347</v>
      </c>
      <c r="L34" s="213">
        <v>60666794</v>
      </c>
      <c r="M34" s="213">
        <v>6162347</v>
      </c>
      <c r="N34" s="213">
        <v>60666794</v>
      </c>
      <c r="O34" s="214">
        <v>0.70309999999999995</v>
      </c>
      <c r="P34" s="7">
        <f t="shared" si="12"/>
        <v>92533457.400000006</v>
      </c>
      <c r="Q34" s="183">
        <f t="shared" si="2"/>
        <v>6.7471480861364702E-2</v>
      </c>
      <c r="R34" s="346">
        <f>+R35</f>
        <v>92533457.400000006</v>
      </c>
    </row>
    <row r="35" spans="1:18" s="176" customFormat="1">
      <c r="A35" s="10" t="s">
        <v>80</v>
      </c>
      <c r="B35" s="14" t="s">
        <v>84</v>
      </c>
      <c r="C35" s="10" t="s">
        <v>82</v>
      </c>
      <c r="D35" s="25" t="s">
        <v>59</v>
      </c>
      <c r="E35" s="9" t="s">
        <v>83</v>
      </c>
      <c r="F35" s="216">
        <v>82600000</v>
      </c>
      <c r="G35" s="217" t="s">
        <v>48</v>
      </c>
      <c r="H35" s="218">
        <v>3690088</v>
      </c>
      <c r="I35" s="218">
        <v>86290088</v>
      </c>
      <c r="J35" s="218">
        <v>60666794</v>
      </c>
      <c r="K35" s="218">
        <v>6162347</v>
      </c>
      <c r="L35" s="218">
        <v>60666794</v>
      </c>
      <c r="M35" s="218">
        <v>6162347</v>
      </c>
      <c r="N35" s="218">
        <v>60666794</v>
      </c>
      <c r="O35" s="219">
        <v>0.70309999999999995</v>
      </c>
      <c r="P35" s="8">
        <v>92533457.400000006</v>
      </c>
      <c r="Q35" s="183">
        <f t="shared" si="2"/>
        <v>6.7471480861364702E-2</v>
      </c>
      <c r="R35" s="347">
        <v>92533457.400000006</v>
      </c>
    </row>
    <row r="36" spans="1:18" s="175" customFormat="1">
      <c r="A36" s="72" t="s">
        <v>85</v>
      </c>
      <c r="B36" s="73" t="s">
        <v>86</v>
      </c>
      <c r="C36" s="74" t="s">
        <v>87</v>
      </c>
      <c r="D36" s="75"/>
      <c r="E36" s="20" t="s">
        <v>88</v>
      </c>
      <c r="F36" s="206">
        <v>3526400000</v>
      </c>
      <c r="G36" s="207" t="s">
        <v>35</v>
      </c>
      <c r="H36" s="208">
        <v>13536392</v>
      </c>
      <c r="I36" s="208">
        <v>3539936392</v>
      </c>
      <c r="J36" s="208">
        <v>2799828262</v>
      </c>
      <c r="K36" s="208">
        <v>690265159</v>
      </c>
      <c r="L36" s="208">
        <v>2763849436</v>
      </c>
      <c r="M36" s="208">
        <v>693458861</v>
      </c>
      <c r="N36" s="208">
        <v>2763849436</v>
      </c>
      <c r="O36" s="209">
        <v>0.78080000000000005</v>
      </c>
      <c r="P36" s="76">
        <f t="shared" ref="G36:P36" si="13">+P37</f>
        <v>4044818497.8999996</v>
      </c>
      <c r="Q36" s="183">
        <f t="shared" si="2"/>
        <v>0.12482194347215475</v>
      </c>
      <c r="R36" s="345">
        <f>+R37</f>
        <v>4044818497.8999996</v>
      </c>
    </row>
    <row r="37" spans="1:18" s="175" customFormat="1">
      <c r="A37" s="21" t="s">
        <v>85</v>
      </c>
      <c r="B37" s="77" t="s">
        <v>86</v>
      </c>
      <c r="C37" s="21" t="s">
        <v>87</v>
      </c>
      <c r="D37" s="78"/>
      <c r="E37" s="21" t="s">
        <v>88</v>
      </c>
      <c r="F37" s="211">
        <v>3526400000</v>
      </c>
      <c r="G37" s="212" t="s">
        <v>48</v>
      </c>
      <c r="H37" s="213">
        <v>13536392</v>
      </c>
      <c r="I37" s="213">
        <v>3539936392</v>
      </c>
      <c r="J37" s="213">
        <v>2799828262</v>
      </c>
      <c r="K37" s="213">
        <v>690265159</v>
      </c>
      <c r="L37" s="213">
        <v>2763849436</v>
      </c>
      <c r="M37" s="213">
        <v>693458861</v>
      </c>
      <c r="N37" s="213">
        <v>2763849436</v>
      </c>
      <c r="O37" s="214">
        <v>0.78080000000000005</v>
      </c>
      <c r="P37" s="7">
        <f t="shared" ref="G37:P37" si="14">SUM(P38:P39)</f>
        <v>4044818497.8999996</v>
      </c>
      <c r="Q37" s="183">
        <f t="shared" si="2"/>
        <v>0.12482194347215475</v>
      </c>
      <c r="R37" s="346">
        <f>SUM(R38:R39)</f>
        <v>4044818497.8999996</v>
      </c>
    </row>
    <row r="38" spans="1:18" s="176" customFormat="1">
      <c r="A38" s="10"/>
      <c r="B38" s="14" t="s">
        <v>89</v>
      </c>
      <c r="C38" s="10" t="s">
        <v>90</v>
      </c>
      <c r="D38" s="25" t="s">
        <v>51</v>
      </c>
      <c r="E38" s="9" t="s">
        <v>91</v>
      </c>
      <c r="F38" s="216">
        <v>515500000</v>
      </c>
      <c r="G38" s="217" t="s">
        <v>48</v>
      </c>
      <c r="H38" s="218">
        <v>13536392</v>
      </c>
      <c r="I38" s="218">
        <v>529036392</v>
      </c>
      <c r="J38" s="218">
        <v>328557588</v>
      </c>
      <c r="K38" s="218">
        <v>63822943</v>
      </c>
      <c r="L38" s="218">
        <v>313699984</v>
      </c>
      <c r="M38" s="218">
        <v>63822943</v>
      </c>
      <c r="N38" s="218">
        <v>313699984</v>
      </c>
      <c r="O38" s="219">
        <v>0.59299999999999997</v>
      </c>
      <c r="P38" s="8">
        <v>572800686.67999995</v>
      </c>
      <c r="Q38" s="183">
        <f t="shared" si="2"/>
        <v>7.6404054146061537E-2</v>
      </c>
      <c r="R38" s="347">
        <v>572800686.67999995</v>
      </c>
    </row>
    <row r="39" spans="1:18" s="176" customFormat="1">
      <c r="A39" s="10"/>
      <c r="B39" s="14" t="s">
        <v>92</v>
      </c>
      <c r="C39" s="10" t="s">
        <v>93</v>
      </c>
      <c r="D39" s="25" t="s">
        <v>55</v>
      </c>
      <c r="E39" s="9" t="s">
        <v>94</v>
      </c>
      <c r="F39" s="216">
        <v>3010900000</v>
      </c>
      <c r="G39" s="217" t="s">
        <v>48</v>
      </c>
      <c r="H39" s="217" t="s">
        <v>48</v>
      </c>
      <c r="I39" s="218">
        <v>3010900000</v>
      </c>
      <c r="J39" s="218">
        <v>2471270674</v>
      </c>
      <c r="K39" s="218">
        <v>626442216</v>
      </c>
      <c r="L39" s="218">
        <v>2450149452</v>
      </c>
      <c r="M39" s="218">
        <v>629635918</v>
      </c>
      <c r="N39" s="218">
        <v>2450149452</v>
      </c>
      <c r="O39" s="219">
        <v>0.81379999999999997</v>
      </c>
      <c r="P39" s="8">
        <v>3472017811.2199998</v>
      </c>
      <c r="Q39" s="183">
        <f t="shared" si="2"/>
        <v>0.13280974819019489</v>
      </c>
      <c r="R39" s="347">
        <v>3472017811.2199998</v>
      </c>
    </row>
    <row r="40" spans="1:18">
      <c r="A40" s="72" t="s">
        <v>95</v>
      </c>
      <c r="B40" s="73" t="s">
        <v>96</v>
      </c>
      <c r="C40" s="74" t="s">
        <v>97</v>
      </c>
      <c r="D40" s="75"/>
      <c r="E40" s="20" t="s">
        <v>98</v>
      </c>
      <c r="F40" s="206">
        <v>20060100000</v>
      </c>
      <c r="G40" s="207" t="s">
        <v>35</v>
      </c>
      <c r="H40" s="208">
        <v>191539769</v>
      </c>
      <c r="I40" s="208">
        <v>20251639769</v>
      </c>
      <c r="J40" s="208">
        <v>610368160</v>
      </c>
      <c r="K40" s="208">
        <v>73198061</v>
      </c>
      <c r="L40" s="208">
        <v>312829593</v>
      </c>
      <c r="M40" s="208">
        <v>96359032</v>
      </c>
      <c r="N40" s="208">
        <v>303681545</v>
      </c>
      <c r="O40" s="209">
        <v>1.54E-2</v>
      </c>
      <c r="P40" s="76">
        <f t="shared" ref="G40:P40" si="15">+P41+P45</f>
        <v>22992437070.5</v>
      </c>
      <c r="Q40" s="183">
        <f t="shared" si="2"/>
        <v>0.1192042971824212</v>
      </c>
      <c r="R40" s="345">
        <f>+R41+R45</f>
        <v>22992437070.5</v>
      </c>
    </row>
    <row r="41" spans="1:18" s="175" customFormat="1">
      <c r="A41" s="21" t="s">
        <v>99</v>
      </c>
      <c r="B41" s="77" t="s">
        <v>100</v>
      </c>
      <c r="C41" s="21" t="s">
        <v>101</v>
      </c>
      <c r="D41" s="78"/>
      <c r="E41" s="21" t="s">
        <v>102</v>
      </c>
      <c r="F41" s="211">
        <v>12509200000</v>
      </c>
      <c r="G41" s="212" t="s">
        <v>48</v>
      </c>
      <c r="H41" s="213">
        <v>91795768</v>
      </c>
      <c r="I41" s="213">
        <v>12600995768</v>
      </c>
      <c r="J41" s="213">
        <v>205967914</v>
      </c>
      <c r="K41" s="213">
        <v>12083814</v>
      </c>
      <c r="L41" s="213">
        <v>72809312</v>
      </c>
      <c r="M41" s="213">
        <v>24549290</v>
      </c>
      <c r="N41" s="213">
        <v>71688086</v>
      </c>
      <c r="O41" s="214">
        <v>5.7999999999999996E-3</v>
      </c>
      <c r="P41" s="7">
        <f t="shared" ref="G41:P41" si="16">SUM(P42:P44)</f>
        <v>14300186168.15</v>
      </c>
      <c r="Q41" s="183">
        <f t="shared" si="2"/>
        <v>0.11882295658041928</v>
      </c>
      <c r="R41" s="346">
        <f>SUM(R42:R44)</f>
        <v>14300186168.15</v>
      </c>
    </row>
    <row r="42" spans="1:18" s="177" customFormat="1">
      <c r="A42" s="10"/>
      <c r="B42" s="14" t="s">
        <v>103</v>
      </c>
      <c r="C42" s="10" t="s">
        <v>104</v>
      </c>
      <c r="D42" s="25" t="s">
        <v>51</v>
      </c>
      <c r="E42" s="9" t="s">
        <v>105</v>
      </c>
      <c r="F42" s="216">
        <v>2104500000</v>
      </c>
      <c r="G42" s="217" t="s">
        <v>48</v>
      </c>
      <c r="H42" s="218">
        <v>27344451</v>
      </c>
      <c r="I42" s="218">
        <v>2131844451</v>
      </c>
      <c r="J42" s="218">
        <v>80275170</v>
      </c>
      <c r="K42" s="218">
        <v>10865156</v>
      </c>
      <c r="L42" s="218">
        <v>42144984</v>
      </c>
      <c r="M42" s="218">
        <v>12334980</v>
      </c>
      <c r="N42" s="218">
        <v>42144984</v>
      </c>
      <c r="O42" s="219">
        <v>1.9800000000000002E-2</v>
      </c>
      <c r="P42" s="8">
        <v>2287603938.3800001</v>
      </c>
      <c r="Q42" s="183">
        <f t="shared" si="2"/>
        <v>6.8088485409018601E-2</v>
      </c>
      <c r="R42" s="347">
        <v>2287603938.3800001</v>
      </c>
    </row>
    <row r="43" spans="1:18" s="176" customFormat="1">
      <c r="A43" s="10"/>
      <c r="B43" s="14" t="s">
        <v>106</v>
      </c>
      <c r="C43" s="10" t="s">
        <v>107</v>
      </c>
      <c r="D43" s="25" t="s">
        <v>55</v>
      </c>
      <c r="E43" s="9" t="s">
        <v>108</v>
      </c>
      <c r="F43" s="216">
        <v>10107200000</v>
      </c>
      <c r="G43" s="217" t="s">
        <v>48</v>
      </c>
      <c r="H43" s="218">
        <v>14879272</v>
      </c>
      <c r="I43" s="218">
        <v>10122079272</v>
      </c>
      <c r="J43" s="218">
        <v>118644021</v>
      </c>
      <c r="K43" s="218">
        <v>1218658</v>
      </c>
      <c r="L43" s="218">
        <v>30664328</v>
      </c>
      <c r="M43" s="218">
        <v>12214310</v>
      </c>
      <c r="N43" s="218">
        <v>29543102</v>
      </c>
      <c r="O43" s="219">
        <v>3.0000000000000001E-3</v>
      </c>
      <c r="P43" s="8">
        <v>11659997674.389999</v>
      </c>
      <c r="Q43" s="183">
        <f t="shared" si="2"/>
        <v>0.13189697333884387</v>
      </c>
      <c r="R43" s="347">
        <v>11659997674.389999</v>
      </c>
    </row>
    <row r="44" spans="1:18" s="177" customFormat="1">
      <c r="A44" s="10"/>
      <c r="B44" s="14" t="s">
        <v>109</v>
      </c>
      <c r="C44" s="10" t="s">
        <v>110</v>
      </c>
      <c r="D44" s="25" t="s">
        <v>59</v>
      </c>
      <c r="E44" s="9" t="s">
        <v>111</v>
      </c>
      <c r="F44" s="216">
        <v>297500000</v>
      </c>
      <c r="G44" s="217" t="s">
        <v>48</v>
      </c>
      <c r="H44" s="218">
        <v>49572045</v>
      </c>
      <c r="I44" s="218">
        <v>347072045</v>
      </c>
      <c r="J44" s="218">
        <v>7048723</v>
      </c>
      <c r="K44" s="217" t="s">
        <v>112</v>
      </c>
      <c r="L44" s="217" t="s">
        <v>112</v>
      </c>
      <c r="M44" s="217" t="s">
        <v>113</v>
      </c>
      <c r="N44" s="217" t="s">
        <v>114</v>
      </c>
      <c r="O44" s="219">
        <v>0</v>
      </c>
      <c r="P44" s="8">
        <v>352584555.38</v>
      </c>
      <c r="Q44" s="183">
        <f t="shared" si="2"/>
        <v>1.5634576999718142E-2</v>
      </c>
      <c r="R44" s="347">
        <v>352584555.38</v>
      </c>
    </row>
    <row r="45" spans="1:18">
      <c r="A45" s="21" t="s">
        <v>115</v>
      </c>
      <c r="B45" s="77" t="s">
        <v>116</v>
      </c>
      <c r="C45" s="21" t="s">
        <v>117</v>
      </c>
      <c r="D45" s="78"/>
      <c r="E45" s="21" t="s">
        <v>118</v>
      </c>
      <c r="F45" s="211">
        <v>7550900000</v>
      </c>
      <c r="G45" s="212" t="s">
        <v>48</v>
      </c>
      <c r="H45" s="213">
        <v>99744001</v>
      </c>
      <c r="I45" s="213">
        <v>7650644001</v>
      </c>
      <c r="J45" s="213">
        <v>404400246</v>
      </c>
      <c r="K45" s="213">
        <v>61114247</v>
      </c>
      <c r="L45" s="213">
        <v>240020281</v>
      </c>
      <c r="M45" s="213">
        <v>71809742</v>
      </c>
      <c r="N45" s="213">
        <v>231993459</v>
      </c>
      <c r="O45" s="214">
        <v>3.1399999999999997E-2</v>
      </c>
      <c r="P45" s="7">
        <f t="shared" ref="G45:P45" si="17">SUM(P46:P48)</f>
        <v>8692250902.3500004</v>
      </c>
      <c r="Q45" s="183">
        <f t="shared" si="2"/>
        <v>0.11983166535936002</v>
      </c>
      <c r="R45" s="346">
        <f>SUM(R46:R48)</f>
        <v>8692250902.3500004</v>
      </c>
    </row>
    <row r="46" spans="1:18" s="177" customFormat="1">
      <c r="A46" s="10"/>
      <c r="B46" s="14" t="s">
        <v>119</v>
      </c>
      <c r="C46" s="10" t="s">
        <v>120</v>
      </c>
      <c r="D46" s="25" t="s">
        <v>51</v>
      </c>
      <c r="E46" s="9" t="s">
        <v>121</v>
      </c>
      <c r="F46" s="216">
        <v>1010200000</v>
      </c>
      <c r="G46" s="217" t="s">
        <v>48</v>
      </c>
      <c r="H46" s="218">
        <v>31433000</v>
      </c>
      <c r="I46" s="218">
        <v>1041633000</v>
      </c>
      <c r="J46" s="218">
        <v>158951906</v>
      </c>
      <c r="K46" s="218">
        <v>35279851</v>
      </c>
      <c r="L46" s="218">
        <v>108011391</v>
      </c>
      <c r="M46" s="218">
        <v>36219821</v>
      </c>
      <c r="N46" s="218">
        <v>108011391</v>
      </c>
      <c r="O46" s="219">
        <v>0.1037</v>
      </c>
      <c r="P46" s="8">
        <v>1123825709.45</v>
      </c>
      <c r="Q46" s="183">
        <f t="shared" si="2"/>
        <v>7.3136527095669604E-2</v>
      </c>
      <c r="R46" s="347">
        <v>1123825709.45</v>
      </c>
    </row>
    <row r="47" spans="1:18" s="176" customFormat="1">
      <c r="A47" s="10"/>
      <c r="B47" s="14" t="s">
        <v>122</v>
      </c>
      <c r="C47" s="10" t="s">
        <v>123</v>
      </c>
      <c r="D47" s="25" t="s">
        <v>55</v>
      </c>
      <c r="E47" s="9" t="s">
        <v>124</v>
      </c>
      <c r="F47" s="216">
        <v>6336200000</v>
      </c>
      <c r="G47" s="217" t="s">
        <v>48</v>
      </c>
      <c r="H47" s="218">
        <v>16574045</v>
      </c>
      <c r="I47" s="218">
        <v>6352774045</v>
      </c>
      <c r="J47" s="218">
        <v>179031113</v>
      </c>
      <c r="K47" s="218">
        <v>16788575</v>
      </c>
      <c r="L47" s="218">
        <v>75714825</v>
      </c>
      <c r="M47" s="218">
        <v>26544100</v>
      </c>
      <c r="N47" s="218">
        <v>67688003</v>
      </c>
      <c r="O47" s="219">
        <v>1.1900000000000001E-2</v>
      </c>
      <c r="P47" s="8">
        <v>7310151705.2600002</v>
      </c>
      <c r="Q47" s="183">
        <f t="shared" si="2"/>
        <v>0.1309654982359835</v>
      </c>
      <c r="R47" s="347">
        <v>7310151705.2600002</v>
      </c>
    </row>
    <row r="48" spans="1:18" s="176" customFormat="1">
      <c r="A48" s="10"/>
      <c r="B48" s="14" t="s">
        <v>125</v>
      </c>
      <c r="C48" s="10" t="s">
        <v>126</v>
      </c>
      <c r="D48" s="25" t="s">
        <v>59</v>
      </c>
      <c r="E48" s="9" t="s">
        <v>127</v>
      </c>
      <c r="F48" s="216">
        <v>204500000</v>
      </c>
      <c r="G48" s="217" t="s">
        <v>48</v>
      </c>
      <c r="H48" s="218">
        <v>51736956</v>
      </c>
      <c r="I48" s="218">
        <v>256236956</v>
      </c>
      <c r="J48" s="218">
        <v>66417227</v>
      </c>
      <c r="K48" s="218">
        <v>9045821</v>
      </c>
      <c r="L48" s="218">
        <v>56294065</v>
      </c>
      <c r="M48" s="218">
        <v>9045821</v>
      </c>
      <c r="N48" s="218">
        <v>56294065</v>
      </c>
      <c r="O48" s="219">
        <v>0.21970000000000001</v>
      </c>
      <c r="P48" s="8">
        <v>258273487.63999999</v>
      </c>
      <c r="Q48" s="183">
        <f t="shared" si="2"/>
        <v>7.8851749694054882E-3</v>
      </c>
      <c r="R48" s="347">
        <v>258273487.63999999</v>
      </c>
    </row>
    <row r="49" spans="1:18">
      <c r="A49" s="72" t="s">
        <v>128</v>
      </c>
      <c r="B49" s="73" t="s">
        <v>129</v>
      </c>
      <c r="C49" s="74" t="s">
        <v>130</v>
      </c>
      <c r="D49" s="75"/>
      <c r="E49" s="20" t="s">
        <v>131</v>
      </c>
      <c r="F49" s="206">
        <v>3612600000</v>
      </c>
      <c r="G49" s="207" t="s">
        <v>35</v>
      </c>
      <c r="H49" s="208">
        <v>-170745885</v>
      </c>
      <c r="I49" s="208">
        <v>3441854115</v>
      </c>
      <c r="J49" s="208">
        <v>2412483954</v>
      </c>
      <c r="K49" s="208">
        <v>265831581</v>
      </c>
      <c r="L49" s="208">
        <v>2412189753</v>
      </c>
      <c r="M49" s="208">
        <v>265831581</v>
      </c>
      <c r="N49" s="208">
        <v>2412189753</v>
      </c>
      <c r="O49" s="209">
        <v>0.70079999999999998</v>
      </c>
      <c r="P49" s="76">
        <f t="shared" ref="G49:P49" si="18">+P51</f>
        <v>3872598699.6100001</v>
      </c>
      <c r="Q49" s="183">
        <f t="shared" si="2"/>
        <v>0.11122882023726842</v>
      </c>
      <c r="R49" s="345">
        <f>+R51</f>
        <v>3872598699.6100001</v>
      </c>
    </row>
    <row r="50" spans="1:18" s="175" customFormat="1">
      <c r="A50" s="21" t="s">
        <v>128</v>
      </c>
      <c r="B50" s="77" t="s">
        <v>129</v>
      </c>
      <c r="C50" s="21" t="s">
        <v>130</v>
      </c>
      <c r="D50" s="78"/>
      <c r="E50" s="21" t="s">
        <v>131</v>
      </c>
      <c r="F50" s="211">
        <v>3612600000</v>
      </c>
      <c r="G50" s="212" t="s">
        <v>48</v>
      </c>
      <c r="H50" s="213">
        <v>-170745885</v>
      </c>
      <c r="I50" s="213">
        <v>3441854115</v>
      </c>
      <c r="J50" s="213">
        <v>2412483954</v>
      </c>
      <c r="K50" s="213">
        <v>265831581</v>
      </c>
      <c r="L50" s="213">
        <v>2412189753</v>
      </c>
      <c r="M50" s="213">
        <v>265831581</v>
      </c>
      <c r="N50" s="213">
        <v>2412189753</v>
      </c>
      <c r="O50" s="214">
        <v>0.70079999999999998</v>
      </c>
      <c r="P50" s="7">
        <f t="shared" ref="G50:P50" si="19">+P51</f>
        <v>3872598699.6100001</v>
      </c>
      <c r="Q50" s="183">
        <f t="shared" si="2"/>
        <v>0.11122882023726842</v>
      </c>
      <c r="R50" s="346">
        <f>+R51</f>
        <v>3872598699.6100001</v>
      </c>
    </row>
    <row r="51" spans="1:18" s="177" customFormat="1">
      <c r="A51" s="10"/>
      <c r="B51" s="14" t="s">
        <v>132</v>
      </c>
      <c r="C51" s="10" t="s">
        <v>133</v>
      </c>
      <c r="D51" s="25" t="s">
        <v>51</v>
      </c>
      <c r="E51" s="9" t="s">
        <v>134</v>
      </c>
      <c r="F51" s="216">
        <v>3612600000</v>
      </c>
      <c r="G51" s="217" t="s">
        <v>48</v>
      </c>
      <c r="H51" s="218">
        <v>-170745885</v>
      </c>
      <c r="I51" s="218">
        <v>3441854115</v>
      </c>
      <c r="J51" s="218">
        <v>2412483954</v>
      </c>
      <c r="K51" s="218">
        <v>265831581</v>
      </c>
      <c r="L51" s="218">
        <v>2412189753</v>
      </c>
      <c r="M51" s="218">
        <v>265831581</v>
      </c>
      <c r="N51" s="218">
        <v>2412189753</v>
      </c>
      <c r="O51" s="219">
        <v>0.70079999999999998</v>
      </c>
      <c r="P51" s="8">
        <v>3872598699.6100001</v>
      </c>
      <c r="Q51" s="183">
        <f t="shared" si="2"/>
        <v>0.11122882023726842</v>
      </c>
      <c r="R51" s="347">
        <v>3872598699.6100001</v>
      </c>
    </row>
    <row r="52" spans="1:18">
      <c r="A52" s="67" t="s">
        <v>135</v>
      </c>
      <c r="B52" s="68" t="s">
        <v>136</v>
      </c>
      <c r="C52" s="69" t="s">
        <v>137</v>
      </c>
      <c r="D52" s="70"/>
      <c r="E52" s="27" t="s">
        <v>138</v>
      </c>
      <c r="F52" s="202">
        <v>10830625000</v>
      </c>
      <c r="G52" s="203" t="s">
        <v>35</v>
      </c>
      <c r="H52" s="204">
        <v>255835530</v>
      </c>
      <c r="I52" s="204">
        <v>11086460530</v>
      </c>
      <c r="J52" s="204">
        <v>10397161706</v>
      </c>
      <c r="K52" s="204">
        <v>110539168</v>
      </c>
      <c r="L52" s="204">
        <v>10207393086</v>
      </c>
      <c r="M52" s="204">
        <v>128374974</v>
      </c>
      <c r="N52" s="204">
        <v>10200459904</v>
      </c>
      <c r="O52" s="205">
        <v>0.92069999999999996</v>
      </c>
      <c r="P52" s="71">
        <f t="shared" ref="H52:P52" si="20">+P53+P57</f>
        <v>13814551838.150002</v>
      </c>
      <c r="Q52" s="183">
        <f t="shared" si="2"/>
        <v>0.19747953752767838</v>
      </c>
      <c r="R52" s="344">
        <f>+R53+R57</f>
        <v>13814551838.150002</v>
      </c>
    </row>
    <row r="53" spans="1:18" s="175" customFormat="1">
      <c r="A53" s="72" t="s">
        <v>139</v>
      </c>
      <c r="B53" s="73" t="s">
        <v>140</v>
      </c>
      <c r="C53" s="74" t="s">
        <v>141</v>
      </c>
      <c r="D53" s="75"/>
      <c r="E53" s="20" t="s">
        <v>142</v>
      </c>
      <c r="F53" s="206">
        <v>9968525000</v>
      </c>
      <c r="G53" s="207" t="s">
        <v>35</v>
      </c>
      <c r="H53" s="208">
        <v>131589249</v>
      </c>
      <c r="I53" s="208">
        <v>10100114249</v>
      </c>
      <c r="J53" s="208">
        <v>9786987608</v>
      </c>
      <c r="K53" s="208">
        <v>47611320</v>
      </c>
      <c r="L53" s="208">
        <v>9597349611</v>
      </c>
      <c r="M53" s="208">
        <v>65447126</v>
      </c>
      <c r="N53" s="208">
        <v>9590416429</v>
      </c>
      <c r="O53" s="209">
        <v>0.95020000000000004</v>
      </c>
      <c r="P53" s="76">
        <f t="shared" ref="G53:P53" si="21">SUM(P54:P56)</f>
        <v>12787384358.220001</v>
      </c>
      <c r="Q53" s="183">
        <f t="shared" si="2"/>
        <v>0.2101501005944634</v>
      </c>
      <c r="R53" s="345">
        <f>SUM(R54:R56)</f>
        <v>12787384358.220001</v>
      </c>
    </row>
    <row r="54" spans="1:18" s="177" customFormat="1">
      <c r="A54" s="10"/>
      <c r="B54" s="14" t="s">
        <v>143</v>
      </c>
      <c r="C54" s="10" t="s">
        <v>144</v>
      </c>
      <c r="D54" s="25" t="s">
        <v>51</v>
      </c>
      <c r="E54" s="9" t="s">
        <v>145</v>
      </c>
      <c r="F54" s="216">
        <v>1596153000</v>
      </c>
      <c r="G54" s="217" t="s">
        <v>48</v>
      </c>
      <c r="H54" s="218">
        <v>275474507</v>
      </c>
      <c r="I54" s="218">
        <v>1871627507</v>
      </c>
      <c r="J54" s="218">
        <v>1753100960</v>
      </c>
      <c r="K54" s="218">
        <v>29571148</v>
      </c>
      <c r="L54" s="218">
        <v>1679424943</v>
      </c>
      <c r="M54" s="218">
        <v>34346489</v>
      </c>
      <c r="N54" s="218">
        <v>1679424943</v>
      </c>
      <c r="O54" s="219">
        <v>0.89729999999999999</v>
      </c>
      <c r="P54" s="8">
        <v>2421498604.7600002</v>
      </c>
      <c r="Q54" s="183">
        <f t="shared" si="2"/>
        <v>0.22707884145756058</v>
      </c>
      <c r="R54" s="347">
        <v>2421498604.7600002</v>
      </c>
    </row>
    <row r="55" spans="1:18" s="176" customFormat="1">
      <c r="A55" s="10"/>
      <c r="B55" s="14" t="s">
        <v>146</v>
      </c>
      <c r="C55" s="10" t="s">
        <v>147</v>
      </c>
      <c r="D55" s="25" t="s">
        <v>55</v>
      </c>
      <c r="E55" s="9" t="s">
        <v>148</v>
      </c>
      <c r="F55" s="216">
        <v>8152872000</v>
      </c>
      <c r="G55" s="217" t="s">
        <v>48</v>
      </c>
      <c r="H55" s="218">
        <v>-190172119</v>
      </c>
      <c r="I55" s="218">
        <v>7962699881</v>
      </c>
      <c r="J55" s="218">
        <v>7792794544</v>
      </c>
      <c r="K55" s="218">
        <v>18040172</v>
      </c>
      <c r="L55" s="218">
        <v>7682152807</v>
      </c>
      <c r="M55" s="218">
        <v>31100637</v>
      </c>
      <c r="N55" s="218">
        <v>7675219625</v>
      </c>
      <c r="O55" s="219">
        <v>0.96479999999999999</v>
      </c>
      <c r="P55" s="8">
        <v>10097191905.93</v>
      </c>
      <c r="Q55" s="183">
        <f t="shared" si="2"/>
        <v>0.2113946179111868</v>
      </c>
      <c r="R55" s="347">
        <v>10097191905.93</v>
      </c>
    </row>
    <row r="56" spans="1:18" s="176" customFormat="1">
      <c r="A56" s="10"/>
      <c r="B56" s="14" t="s">
        <v>149</v>
      </c>
      <c r="C56" s="10" t="s">
        <v>150</v>
      </c>
      <c r="D56" s="25" t="s">
        <v>59</v>
      </c>
      <c r="E56" s="9" t="s">
        <v>151</v>
      </c>
      <c r="F56" s="216">
        <v>219500000</v>
      </c>
      <c r="G56" s="217" t="s">
        <v>48</v>
      </c>
      <c r="H56" s="218">
        <v>46286861</v>
      </c>
      <c r="I56" s="218">
        <v>265786861</v>
      </c>
      <c r="J56" s="218">
        <v>241092104</v>
      </c>
      <c r="K56" s="217" t="s">
        <v>112</v>
      </c>
      <c r="L56" s="218">
        <v>235771861</v>
      </c>
      <c r="M56" s="217" t="s">
        <v>113</v>
      </c>
      <c r="N56" s="218">
        <v>235771861</v>
      </c>
      <c r="O56" s="219">
        <v>0.8871</v>
      </c>
      <c r="P56" s="8">
        <v>268693847.52999997</v>
      </c>
      <c r="Q56" s="183">
        <f t="shared" si="2"/>
        <v>1.0818954571244521E-2</v>
      </c>
      <c r="R56" s="347">
        <v>268693847.52999997</v>
      </c>
    </row>
    <row r="57" spans="1:18" s="175" customFormat="1">
      <c r="A57" s="72" t="s">
        <v>152</v>
      </c>
      <c r="B57" s="73" t="s">
        <v>153</v>
      </c>
      <c r="C57" s="74" t="s">
        <v>154</v>
      </c>
      <c r="D57" s="75"/>
      <c r="E57" s="20" t="s">
        <v>155</v>
      </c>
      <c r="F57" s="206">
        <v>862100000</v>
      </c>
      <c r="G57" s="207" t="s">
        <v>35</v>
      </c>
      <c r="H57" s="208">
        <v>124246281</v>
      </c>
      <c r="I57" s="208">
        <v>986346281</v>
      </c>
      <c r="J57" s="208">
        <v>610174098</v>
      </c>
      <c r="K57" s="208">
        <v>62927848</v>
      </c>
      <c r="L57" s="208">
        <v>610043475</v>
      </c>
      <c r="M57" s="208">
        <v>62927848</v>
      </c>
      <c r="N57" s="208">
        <v>610043475</v>
      </c>
      <c r="O57" s="209">
        <v>0.61850000000000005</v>
      </c>
      <c r="P57" s="76">
        <f t="shared" ref="G57:P57" si="22">+P58</f>
        <v>1027167479.9299999</v>
      </c>
      <c r="Q57" s="183">
        <f t="shared" si="2"/>
        <v>3.9741521930563704E-2</v>
      </c>
      <c r="R57" s="345">
        <f>+R58</f>
        <v>1027167479.9299999</v>
      </c>
    </row>
    <row r="58" spans="1:18" s="175" customFormat="1">
      <c r="A58" s="21" t="s">
        <v>156</v>
      </c>
      <c r="B58" s="77" t="s">
        <v>157</v>
      </c>
      <c r="C58" s="21" t="s">
        <v>158</v>
      </c>
      <c r="D58" s="78"/>
      <c r="E58" s="21" t="s">
        <v>159</v>
      </c>
      <c r="F58" s="211">
        <v>862100000</v>
      </c>
      <c r="G58" s="212" t="s">
        <v>48</v>
      </c>
      <c r="H58" s="213">
        <v>124246281</v>
      </c>
      <c r="I58" s="213">
        <v>986346281</v>
      </c>
      <c r="J58" s="213">
        <v>610174098</v>
      </c>
      <c r="K58" s="213">
        <v>62927848</v>
      </c>
      <c r="L58" s="213">
        <v>610043475</v>
      </c>
      <c r="M58" s="213">
        <v>62927848</v>
      </c>
      <c r="N58" s="213">
        <v>610043475</v>
      </c>
      <c r="O58" s="214">
        <v>0.61850000000000005</v>
      </c>
      <c r="P58" s="7">
        <f t="shared" ref="G58:P58" si="23">SUM(P59:P60)</f>
        <v>1027167479.9299999</v>
      </c>
      <c r="Q58" s="183">
        <f t="shared" si="2"/>
        <v>3.9741521930563704E-2</v>
      </c>
      <c r="R58" s="346">
        <f>SUM(R59:R60)</f>
        <v>1027167479.9299999</v>
      </c>
    </row>
    <row r="59" spans="1:18" s="177" customFormat="1">
      <c r="A59" s="10"/>
      <c r="B59" s="14" t="s">
        <v>160</v>
      </c>
      <c r="C59" s="10" t="s">
        <v>161</v>
      </c>
      <c r="D59" s="25" t="s">
        <v>51</v>
      </c>
      <c r="E59" s="9" t="s">
        <v>162</v>
      </c>
      <c r="F59" s="216">
        <v>667000000</v>
      </c>
      <c r="G59" s="217" t="s">
        <v>48</v>
      </c>
      <c r="H59" s="218">
        <v>121613919</v>
      </c>
      <c r="I59" s="218">
        <v>788613919</v>
      </c>
      <c r="J59" s="218">
        <v>478204018</v>
      </c>
      <c r="K59" s="218">
        <v>49431136</v>
      </c>
      <c r="L59" s="218">
        <v>478073395</v>
      </c>
      <c r="M59" s="218">
        <v>49431136</v>
      </c>
      <c r="N59" s="218">
        <v>478073395</v>
      </c>
      <c r="O59" s="219">
        <v>0.60619999999999996</v>
      </c>
      <c r="P59" s="8">
        <v>831631332.88999999</v>
      </c>
      <c r="Q59" s="183">
        <f t="shared" si="2"/>
        <v>5.1726542986914981E-2</v>
      </c>
      <c r="R59" s="347">
        <v>831631332.88999999</v>
      </c>
    </row>
    <row r="60" spans="1:18" s="177" customFormat="1">
      <c r="A60" s="10"/>
      <c r="B60" s="14" t="s">
        <v>163</v>
      </c>
      <c r="C60" s="10" t="s">
        <v>164</v>
      </c>
      <c r="D60" s="25" t="s">
        <v>59</v>
      </c>
      <c r="E60" s="9" t="s">
        <v>165</v>
      </c>
      <c r="F60" s="216">
        <v>195100000</v>
      </c>
      <c r="G60" s="217" t="s">
        <v>48</v>
      </c>
      <c r="H60" s="218">
        <v>2632362</v>
      </c>
      <c r="I60" s="218">
        <v>197732362</v>
      </c>
      <c r="J60" s="218">
        <v>131970080</v>
      </c>
      <c r="K60" s="218">
        <v>13496712</v>
      </c>
      <c r="L60" s="218">
        <v>131970080</v>
      </c>
      <c r="M60" s="218">
        <v>13496712</v>
      </c>
      <c r="N60" s="218">
        <v>131970080</v>
      </c>
      <c r="O60" s="219">
        <v>0.66739999999999999</v>
      </c>
      <c r="P60" s="8">
        <v>195536147.03999999</v>
      </c>
      <c r="Q60" s="183">
        <f t="shared" si="2"/>
        <v>-1.1231759412497466E-2</v>
      </c>
      <c r="R60" s="347">
        <v>195536147.03999999</v>
      </c>
    </row>
    <row r="61" spans="1:18">
      <c r="A61" s="65" t="s">
        <v>166</v>
      </c>
      <c r="B61" s="65" t="s">
        <v>167</v>
      </c>
      <c r="C61" s="65" t="s">
        <v>168</v>
      </c>
      <c r="D61" s="65"/>
      <c r="E61" s="65" t="s">
        <v>169</v>
      </c>
      <c r="F61" s="198">
        <v>51239425000</v>
      </c>
      <c r="G61" s="199" t="s">
        <v>35</v>
      </c>
      <c r="H61" s="200">
        <v>-1164989805</v>
      </c>
      <c r="I61" s="200">
        <v>50074435195</v>
      </c>
      <c r="J61" s="200">
        <v>33142398651</v>
      </c>
      <c r="K61" s="200">
        <v>3669880899</v>
      </c>
      <c r="L61" s="200">
        <v>33049343828</v>
      </c>
      <c r="M61" s="200">
        <v>3673111441</v>
      </c>
      <c r="N61" s="200">
        <v>33031464671</v>
      </c>
      <c r="O61" s="201">
        <v>0.66</v>
      </c>
      <c r="P61" s="66">
        <f t="shared" ref="G61:P61" si="24">+P62+P71+P76+P85+P90+P95</f>
        <v>59417333193.339996</v>
      </c>
      <c r="Q61" s="183">
        <f t="shared" si="2"/>
        <v>0.15724196116205411</v>
      </c>
      <c r="R61" s="343">
        <f>+R62+R71+R76+R85+R90+R95</f>
        <v>59417333193.339996</v>
      </c>
    </row>
    <row r="62" spans="1:18">
      <c r="A62" s="72" t="s">
        <v>170</v>
      </c>
      <c r="B62" s="73" t="s">
        <v>171</v>
      </c>
      <c r="C62" s="74" t="s">
        <v>172</v>
      </c>
      <c r="D62" s="75"/>
      <c r="E62" s="20" t="s">
        <v>173</v>
      </c>
      <c r="F62" s="206">
        <v>15593300000</v>
      </c>
      <c r="G62" s="207" t="s">
        <v>35</v>
      </c>
      <c r="H62" s="208">
        <v>-738121876</v>
      </c>
      <c r="I62" s="208">
        <v>14855178124</v>
      </c>
      <c r="J62" s="208">
        <v>9094610550</v>
      </c>
      <c r="K62" s="208">
        <v>1545810650</v>
      </c>
      <c r="L62" s="208">
        <v>9094610550</v>
      </c>
      <c r="M62" s="208">
        <v>1545810650</v>
      </c>
      <c r="N62" s="208">
        <v>9094610550</v>
      </c>
      <c r="O62" s="209">
        <v>0.61219999999999997</v>
      </c>
      <c r="P62" s="76">
        <f t="shared" ref="G62:P62" si="25">+P63+P67</f>
        <v>17859361361.790001</v>
      </c>
      <c r="Q62" s="183">
        <f t="shared" si="2"/>
        <v>0.16821336311708399</v>
      </c>
      <c r="R62" s="345">
        <f>+R63+R67</f>
        <v>17859361361.790001</v>
      </c>
    </row>
    <row r="63" spans="1:18">
      <c r="A63" s="21" t="s">
        <v>174</v>
      </c>
      <c r="B63" s="77" t="s">
        <v>175</v>
      </c>
      <c r="C63" s="21" t="s">
        <v>176</v>
      </c>
      <c r="D63" s="78"/>
      <c r="E63" s="21" t="s">
        <v>177</v>
      </c>
      <c r="F63" s="211">
        <v>13646900000</v>
      </c>
      <c r="G63" s="212" t="s">
        <v>48</v>
      </c>
      <c r="H63" s="213">
        <v>-779364096</v>
      </c>
      <c r="I63" s="213">
        <v>12867535904</v>
      </c>
      <c r="J63" s="213">
        <v>8144842375</v>
      </c>
      <c r="K63" s="213">
        <v>1394585225</v>
      </c>
      <c r="L63" s="213">
        <v>8144842375</v>
      </c>
      <c r="M63" s="213">
        <v>1394585225</v>
      </c>
      <c r="N63" s="213">
        <v>8144842375</v>
      </c>
      <c r="O63" s="214">
        <v>0.63300000000000001</v>
      </c>
      <c r="P63" s="7">
        <f t="shared" ref="G63:P63" si="26">SUM(P64:P66)</f>
        <v>15547240715.709999</v>
      </c>
      <c r="Q63" s="183">
        <f t="shared" si="2"/>
        <v>0.17235886809176637</v>
      </c>
      <c r="R63" s="346">
        <f>SUM(R64:R66)</f>
        <v>15547240715.709999</v>
      </c>
    </row>
    <row r="64" spans="1:18" s="177" customFormat="1">
      <c r="A64" s="10"/>
      <c r="B64" s="14" t="s">
        <v>178</v>
      </c>
      <c r="C64" s="10" t="s">
        <v>179</v>
      </c>
      <c r="D64" s="25" t="s">
        <v>51</v>
      </c>
      <c r="E64" s="9" t="s">
        <v>180</v>
      </c>
      <c r="F64" s="216">
        <v>2242400000</v>
      </c>
      <c r="G64" s="217" t="s">
        <v>48</v>
      </c>
      <c r="H64" s="218">
        <v>-282983103</v>
      </c>
      <c r="I64" s="218">
        <v>1959416897</v>
      </c>
      <c r="J64" s="218">
        <v>1218033225</v>
      </c>
      <c r="K64" s="218">
        <v>198601050</v>
      </c>
      <c r="L64" s="218">
        <v>1218033225</v>
      </c>
      <c r="M64" s="218">
        <v>198601050</v>
      </c>
      <c r="N64" s="218">
        <v>1218033225</v>
      </c>
      <c r="O64" s="219">
        <v>0.62160000000000004</v>
      </c>
      <c r="P64" s="8">
        <v>2417048383.9499998</v>
      </c>
      <c r="Q64" s="183">
        <f t="shared" si="2"/>
        <v>0.18933484740678927</v>
      </c>
      <c r="R64" s="347">
        <v>2417048383.9499998</v>
      </c>
    </row>
    <row r="65" spans="1:18" s="176" customFormat="1">
      <c r="A65" s="10"/>
      <c r="B65" s="14" t="s">
        <v>181</v>
      </c>
      <c r="C65" s="10" t="s">
        <v>182</v>
      </c>
      <c r="D65" s="25" t="s">
        <v>55</v>
      </c>
      <c r="E65" s="9" t="s">
        <v>183</v>
      </c>
      <c r="F65" s="216">
        <v>11219000000</v>
      </c>
      <c r="G65" s="217" t="s">
        <v>48</v>
      </c>
      <c r="H65" s="218">
        <v>-517011918</v>
      </c>
      <c r="I65" s="218">
        <v>10701988082</v>
      </c>
      <c r="J65" s="218">
        <v>6806948350</v>
      </c>
      <c r="K65" s="218">
        <v>1181203475</v>
      </c>
      <c r="L65" s="218">
        <v>6806948350</v>
      </c>
      <c r="M65" s="218">
        <v>1181203475</v>
      </c>
      <c r="N65" s="218">
        <v>6806948350</v>
      </c>
      <c r="O65" s="219">
        <v>0.63600000000000001</v>
      </c>
      <c r="P65" s="8">
        <v>12937333567.65</v>
      </c>
      <c r="Q65" s="183">
        <f t="shared" si="2"/>
        <v>0.17278255012605651</v>
      </c>
      <c r="R65" s="347">
        <v>12937333567.65</v>
      </c>
    </row>
    <row r="66" spans="1:18" s="176" customFormat="1">
      <c r="A66" s="10"/>
      <c r="B66" s="14" t="s">
        <v>184</v>
      </c>
      <c r="C66" s="10" t="s">
        <v>185</v>
      </c>
      <c r="D66" s="25" t="s">
        <v>59</v>
      </c>
      <c r="E66" s="9" t="s">
        <v>186</v>
      </c>
      <c r="F66" s="216">
        <v>185500000</v>
      </c>
      <c r="G66" s="217" t="s">
        <v>48</v>
      </c>
      <c r="H66" s="218">
        <v>20630925</v>
      </c>
      <c r="I66" s="218">
        <v>206130925</v>
      </c>
      <c r="J66" s="218">
        <v>119860800</v>
      </c>
      <c r="K66" s="218">
        <v>14780700</v>
      </c>
      <c r="L66" s="218">
        <v>119860800</v>
      </c>
      <c r="M66" s="218">
        <v>14780700</v>
      </c>
      <c r="N66" s="218">
        <v>119860800</v>
      </c>
      <c r="O66" s="219">
        <v>0.58150000000000002</v>
      </c>
      <c r="P66" s="8">
        <v>192858764.11000001</v>
      </c>
      <c r="Q66" s="183">
        <f t="shared" si="2"/>
        <v>-6.8818033503678377E-2</v>
      </c>
      <c r="R66" s="347">
        <v>192858764.11000001</v>
      </c>
    </row>
    <row r="67" spans="1:18" s="175" customFormat="1">
      <c r="A67" s="21" t="s">
        <v>187</v>
      </c>
      <c r="B67" s="77" t="s">
        <v>188</v>
      </c>
      <c r="C67" s="21" t="s">
        <v>189</v>
      </c>
      <c r="D67" s="78"/>
      <c r="E67" s="21" t="s">
        <v>190</v>
      </c>
      <c r="F67" s="211">
        <v>1946400000</v>
      </c>
      <c r="G67" s="212" t="s">
        <v>48</v>
      </c>
      <c r="H67" s="213">
        <v>41242220</v>
      </c>
      <c r="I67" s="213">
        <v>1987642220</v>
      </c>
      <c r="J67" s="213">
        <v>949768175</v>
      </c>
      <c r="K67" s="213">
        <v>151225425</v>
      </c>
      <c r="L67" s="213">
        <v>949768175</v>
      </c>
      <c r="M67" s="213">
        <v>151225425</v>
      </c>
      <c r="N67" s="213">
        <v>949768175</v>
      </c>
      <c r="O67" s="214">
        <v>0.4778</v>
      </c>
      <c r="P67" s="7">
        <f t="shared" ref="G67:P67" si="27">SUM(P68:P70)</f>
        <v>2312120646.0799999</v>
      </c>
      <c r="Q67" s="183">
        <f t="shared" si="2"/>
        <v>0.14033801680294017</v>
      </c>
      <c r="R67" s="346">
        <f>SUM(R68:R70)</f>
        <v>2312120646.0799999</v>
      </c>
    </row>
    <row r="68" spans="1:18" s="177" customFormat="1">
      <c r="A68" s="10"/>
      <c r="B68" s="14" t="s">
        <v>191</v>
      </c>
      <c r="C68" s="10" t="s">
        <v>192</v>
      </c>
      <c r="D68" s="25" t="s">
        <v>51</v>
      </c>
      <c r="E68" s="9" t="s">
        <v>193</v>
      </c>
      <c r="F68" s="216">
        <v>395800000</v>
      </c>
      <c r="G68" s="217" t="s">
        <v>48</v>
      </c>
      <c r="H68" s="218">
        <v>40509950</v>
      </c>
      <c r="I68" s="218">
        <v>436309950</v>
      </c>
      <c r="J68" s="218">
        <v>221233200</v>
      </c>
      <c r="K68" s="218">
        <v>41108475</v>
      </c>
      <c r="L68" s="218">
        <v>221233200</v>
      </c>
      <c r="M68" s="218">
        <v>41108475</v>
      </c>
      <c r="N68" s="218">
        <v>221233200</v>
      </c>
      <c r="O68" s="219">
        <v>0.5071</v>
      </c>
      <c r="P68" s="8">
        <v>507885054.69999999</v>
      </c>
      <c r="Q68" s="183">
        <f t="shared" si="2"/>
        <v>0.14092776315750877</v>
      </c>
      <c r="R68" s="347">
        <v>507885054.69999999</v>
      </c>
    </row>
    <row r="69" spans="1:18" s="176" customFormat="1">
      <c r="A69" s="10"/>
      <c r="B69" s="14" t="s">
        <v>194</v>
      </c>
      <c r="C69" s="10" t="s">
        <v>195</v>
      </c>
      <c r="D69" s="25" t="s">
        <v>55</v>
      </c>
      <c r="E69" s="9" t="s">
        <v>196</v>
      </c>
      <c r="F69" s="216">
        <v>1529900000</v>
      </c>
      <c r="G69" s="217" t="s">
        <v>48</v>
      </c>
      <c r="H69" s="218">
        <v>-19361755</v>
      </c>
      <c r="I69" s="218">
        <v>1510538245</v>
      </c>
      <c r="J69" s="218">
        <v>717358550</v>
      </c>
      <c r="K69" s="218">
        <v>108967950</v>
      </c>
      <c r="L69" s="218">
        <v>717358550</v>
      </c>
      <c r="M69" s="218">
        <v>108967950</v>
      </c>
      <c r="N69" s="218">
        <v>717358550</v>
      </c>
      <c r="O69" s="219">
        <v>0.47489999999999999</v>
      </c>
      <c r="P69" s="8">
        <v>1764181850.1300001</v>
      </c>
      <c r="Q69" s="183">
        <f t="shared" si="2"/>
        <v>0.14377407017950528</v>
      </c>
      <c r="R69" s="347">
        <v>1764181850.1300001</v>
      </c>
    </row>
    <row r="70" spans="1:18" s="176" customFormat="1">
      <c r="A70" s="10"/>
      <c r="B70" s="14" t="s">
        <v>197</v>
      </c>
      <c r="C70" s="10" t="s">
        <v>198</v>
      </c>
      <c r="D70" s="25" t="s">
        <v>59</v>
      </c>
      <c r="E70" s="9" t="s">
        <v>199</v>
      </c>
      <c r="F70" s="216">
        <v>20700000</v>
      </c>
      <c r="G70" s="217" t="s">
        <v>48</v>
      </c>
      <c r="H70" s="218">
        <v>20094025</v>
      </c>
      <c r="I70" s="218">
        <v>40794025</v>
      </c>
      <c r="J70" s="218">
        <v>11176425</v>
      </c>
      <c r="K70" s="218">
        <v>1149000</v>
      </c>
      <c r="L70" s="218">
        <v>11176425</v>
      </c>
      <c r="M70" s="218">
        <v>1149000</v>
      </c>
      <c r="N70" s="218">
        <v>11176425</v>
      </c>
      <c r="O70" s="219">
        <v>0.27400000000000002</v>
      </c>
      <c r="P70" s="8">
        <v>40053741.25</v>
      </c>
      <c r="Q70" s="183">
        <f t="shared" si="2"/>
        <v>-1.8482262253092276E-2</v>
      </c>
      <c r="R70" s="347">
        <v>40053741.25</v>
      </c>
    </row>
    <row r="71" spans="1:18" s="175" customFormat="1">
      <c r="A71" s="72" t="s">
        <v>200</v>
      </c>
      <c r="B71" s="73" t="s">
        <v>201</v>
      </c>
      <c r="C71" s="74" t="s">
        <v>202</v>
      </c>
      <c r="D71" s="75"/>
      <c r="E71" s="20" t="s">
        <v>203</v>
      </c>
      <c r="F71" s="206">
        <v>11045200000</v>
      </c>
      <c r="G71" s="207" t="s">
        <v>35</v>
      </c>
      <c r="H71" s="208">
        <v>-344426681</v>
      </c>
      <c r="I71" s="208">
        <v>10700773319</v>
      </c>
      <c r="J71" s="208">
        <v>6440658144</v>
      </c>
      <c r="K71" s="208">
        <v>1094809204</v>
      </c>
      <c r="L71" s="208">
        <v>6440658144</v>
      </c>
      <c r="M71" s="208">
        <v>1094809204</v>
      </c>
      <c r="N71" s="208">
        <v>6440658144</v>
      </c>
      <c r="O71" s="209">
        <v>0.60189999999999999</v>
      </c>
      <c r="P71" s="76">
        <f t="shared" ref="G71:P71" si="28">+P72</f>
        <v>12565168063.230001</v>
      </c>
      <c r="Q71" s="183">
        <f t="shared" si="2"/>
        <v>0.14837801888904781</v>
      </c>
      <c r="R71" s="345">
        <f>+R72</f>
        <v>12565168063.230001</v>
      </c>
    </row>
    <row r="72" spans="1:18" s="175" customFormat="1">
      <c r="A72" s="21" t="s">
        <v>204</v>
      </c>
      <c r="B72" s="77" t="s">
        <v>205</v>
      </c>
      <c r="C72" s="21" t="s">
        <v>206</v>
      </c>
      <c r="D72" s="78"/>
      <c r="E72" s="21" t="s">
        <v>207</v>
      </c>
      <c r="F72" s="211">
        <v>11045200000</v>
      </c>
      <c r="G72" s="212" t="s">
        <v>48</v>
      </c>
      <c r="H72" s="213">
        <v>-344426681</v>
      </c>
      <c r="I72" s="213">
        <v>10700773319</v>
      </c>
      <c r="J72" s="213">
        <v>6440658144</v>
      </c>
      <c r="K72" s="213">
        <v>1094809204</v>
      </c>
      <c r="L72" s="213">
        <v>6440658144</v>
      </c>
      <c r="M72" s="213">
        <v>1094809204</v>
      </c>
      <c r="N72" s="213">
        <v>6440658144</v>
      </c>
      <c r="O72" s="214">
        <v>0.60189999999999999</v>
      </c>
      <c r="P72" s="7">
        <f t="shared" ref="G72:P72" si="29">SUM(P73:P75)</f>
        <v>12565168063.230001</v>
      </c>
      <c r="Q72" s="183">
        <f t="shared" si="2"/>
        <v>0.14837801888904781</v>
      </c>
      <c r="R72" s="346">
        <f>SUM(R73:R75)</f>
        <v>12565168063.230001</v>
      </c>
    </row>
    <row r="73" spans="1:18" s="176" customFormat="1">
      <c r="A73" s="10"/>
      <c r="B73" s="14" t="s">
        <v>208</v>
      </c>
      <c r="C73" s="10" t="s">
        <v>209</v>
      </c>
      <c r="D73" s="25" t="s">
        <v>51</v>
      </c>
      <c r="E73" s="9" t="s">
        <v>210</v>
      </c>
      <c r="F73" s="216">
        <v>1868700000</v>
      </c>
      <c r="G73" s="217" t="s">
        <v>48</v>
      </c>
      <c r="H73" s="218">
        <v>-199838316</v>
      </c>
      <c r="I73" s="218">
        <v>1668861684</v>
      </c>
      <c r="J73" s="218">
        <v>1019449336</v>
      </c>
      <c r="K73" s="218">
        <v>169794096</v>
      </c>
      <c r="L73" s="218">
        <v>1019449336</v>
      </c>
      <c r="M73" s="218">
        <v>169794096</v>
      </c>
      <c r="N73" s="218">
        <v>1019449336</v>
      </c>
      <c r="O73" s="219">
        <v>0.6109</v>
      </c>
      <c r="P73" s="8">
        <v>2002644792.04</v>
      </c>
      <c r="Q73" s="183">
        <f t="shared" si="2"/>
        <v>0.1666711487562359</v>
      </c>
      <c r="R73" s="347">
        <v>2002644792.04</v>
      </c>
    </row>
    <row r="74" spans="1:18" s="176" customFormat="1">
      <c r="A74" s="10"/>
      <c r="B74" s="14" t="s">
        <v>211</v>
      </c>
      <c r="C74" s="10" t="s">
        <v>212</v>
      </c>
      <c r="D74" s="25" t="s">
        <v>55</v>
      </c>
      <c r="E74" s="9" t="s">
        <v>213</v>
      </c>
      <c r="F74" s="216">
        <v>9030500000</v>
      </c>
      <c r="G74" s="217" t="s">
        <v>48</v>
      </c>
      <c r="H74" s="218">
        <v>-161082516</v>
      </c>
      <c r="I74" s="218">
        <v>8869417484</v>
      </c>
      <c r="J74" s="218">
        <v>5328389148</v>
      </c>
      <c r="K74" s="218">
        <v>913731528</v>
      </c>
      <c r="L74" s="218">
        <v>5328389148</v>
      </c>
      <c r="M74" s="218">
        <v>913731528</v>
      </c>
      <c r="N74" s="218">
        <v>5328389148</v>
      </c>
      <c r="O74" s="219">
        <v>0.6008</v>
      </c>
      <c r="P74" s="8">
        <v>10413573420.93</v>
      </c>
      <c r="Q74" s="183">
        <f t="shared" si="2"/>
        <v>0.14828300281884382</v>
      </c>
      <c r="R74" s="347">
        <v>10413573420.93</v>
      </c>
    </row>
    <row r="75" spans="1:18" s="177" customFormat="1">
      <c r="A75" s="10"/>
      <c r="B75" s="14" t="s">
        <v>214</v>
      </c>
      <c r="C75" s="10" t="s">
        <v>215</v>
      </c>
      <c r="D75" s="25" t="s">
        <v>59</v>
      </c>
      <c r="E75" s="9" t="s">
        <v>216</v>
      </c>
      <c r="F75" s="216">
        <v>146000000</v>
      </c>
      <c r="G75" s="217" t="s">
        <v>48</v>
      </c>
      <c r="H75" s="218">
        <v>16494151</v>
      </c>
      <c r="I75" s="218">
        <v>162494151</v>
      </c>
      <c r="J75" s="218">
        <v>92819660</v>
      </c>
      <c r="K75" s="218">
        <v>11283580</v>
      </c>
      <c r="L75" s="218">
        <v>92819660</v>
      </c>
      <c r="M75" s="218">
        <v>11283580</v>
      </c>
      <c r="N75" s="218">
        <v>92819660</v>
      </c>
      <c r="O75" s="219">
        <v>0.57120000000000004</v>
      </c>
      <c r="P75" s="8">
        <v>148949850.25999999</v>
      </c>
      <c r="Q75" s="183">
        <f t="shared" si="2"/>
        <v>-9.0931952709973882E-2</v>
      </c>
      <c r="R75" s="347">
        <v>148949850.25999999</v>
      </c>
    </row>
    <row r="76" spans="1:18">
      <c r="A76" s="72" t="s">
        <v>217</v>
      </c>
      <c r="B76" s="73" t="s">
        <v>218</v>
      </c>
      <c r="C76" s="74" t="s">
        <v>219</v>
      </c>
      <c r="D76" s="75"/>
      <c r="E76" s="20" t="s">
        <v>220</v>
      </c>
      <c r="F76" s="206">
        <v>12551325000</v>
      </c>
      <c r="G76" s="207" t="s">
        <v>35</v>
      </c>
      <c r="H76" s="208">
        <v>290676227</v>
      </c>
      <c r="I76" s="208">
        <v>12842001227</v>
      </c>
      <c r="J76" s="208">
        <v>11210806457</v>
      </c>
      <c r="K76" s="208">
        <v>29588645</v>
      </c>
      <c r="L76" s="208">
        <v>11117751634</v>
      </c>
      <c r="M76" s="208">
        <v>32819187</v>
      </c>
      <c r="N76" s="208">
        <v>11099872477</v>
      </c>
      <c r="O76" s="209">
        <v>0.86570000000000003</v>
      </c>
      <c r="P76" s="76">
        <f t="shared" ref="G76:P76" si="30">+P77+P81</f>
        <v>15273367314.119999</v>
      </c>
      <c r="Q76" s="183">
        <f t="shared" si="2"/>
        <v>0.15918991779057376</v>
      </c>
      <c r="R76" s="345">
        <f>+R77+R81</f>
        <v>15273367314.119999</v>
      </c>
    </row>
    <row r="77" spans="1:18" s="175" customFormat="1">
      <c r="A77" s="21" t="s">
        <v>221</v>
      </c>
      <c r="B77" s="77" t="s">
        <v>222</v>
      </c>
      <c r="C77" s="21" t="s">
        <v>223</v>
      </c>
      <c r="D77" s="78"/>
      <c r="E77" s="21" t="s">
        <v>224</v>
      </c>
      <c r="F77" s="211">
        <v>6779543000</v>
      </c>
      <c r="G77" s="212" t="s">
        <v>48</v>
      </c>
      <c r="H77" s="213">
        <v>640898234</v>
      </c>
      <c r="I77" s="213">
        <v>7420441234</v>
      </c>
      <c r="J77" s="213">
        <v>6744065800</v>
      </c>
      <c r="K77" s="213">
        <v>12176766</v>
      </c>
      <c r="L77" s="213">
        <v>6715450908</v>
      </c>
      <c r="M77" s="213">
        <v>17245692</v>
      </c>
      <c r="N77" s="213">
        <v>6713676720</v>
      </c>
      <c r="O77" s="214">
        <v>0.90500000000000003</v>
      </c>
      <c r="P77" s="7">
        <f t="shared" ref="G77:P77" si="31">SUM(P78:P80)</f>
        <v>8087997553.7399998</v>
      </c>
      <c r="Q77" s="183">
        <f t="shared" si="2"/>
        <v>8.2536661924596244E-2</v>
      </c>
      <c r="R77" s="346">
        <f>SUM(R78:R80)</f>
        <v>8087997553.7399998</v>
      </c>
    </row>
    <row r="78" spans="1:18" s="176" customFormat="1">
      <c r="A78" s="10"/>
      <c r="B78" s="14" t="s">
        <v>225</v>
      </c>
      <c r="C78" s="10" t="s">
        <v>226</v>
      </c>
      <c r="D78" s="25" t="s">
        <v>51</v>
      </c>
      <c r="E78" s="9" t="s">
        <v>227</v>
      </c>
      <c r="F78" s="216">
        <v>868543000</v>
      </c>
      <c r="G78" s="217" t="s">
        <v>48</v>
      </c>
      <c r="H78" s="218">
        <v>339857000</v>
      </c>
      <c r="I78" s="218">
        <v>1208400000</v>
      </c>
      <c r="J78" s="218">
        <v>823569842</v>
      </c>
      <c r="K78" s="218">
        <v>12176766</v>
      </c>
      <c r="L78" s="218">
        <v>812085747</v>
      </c>
      <c r="M78" s="218">
        <v>10402578</v>
      </c>
      <c r="N78" s="218">
        <v>810311559</v>
      </c>
      <c r="O78" s="219">
        <v>0.67200000000000004</v>
      </c>
      <c r="P78" s="8">
        <v>1245634353.95</v>
      </c>
      <c r="Q78" s="183">
        <f t="shared" ref="Q78:Q141" si="32">+(P78-I78)/P78</f>
        <v>2.9891881057974291E-2</v>
      </c>
      <c r="R78" s="347">
        <v>1245634353.95</v>
      </c>
    </row>
    <row r="79" spans="1:18" s="176" customFormat="1">
      <c r="A79" s="10"/>
      <c r="B79" s="14" t="s">
        <v>228</v>
      </c>
      <c r="C79" s="10" t="s">
        <v>229</v>
      </c>
      <c r="D79" s="25" t="s">
        <v>55</v>
      </c>
      <c r="E79" s="9" t="s">
        <v>230</v>
      </c>
      <c r="F79" s="216">
        <v>5803200000</v>
      </c>
      <c r="G79" s="217" t="s">
        <v>48</v>
      </c>
      <c r="H79" s="218">
        <v>262041234</v>
      </c>
      <c r="I79" s="218">
        <v>6065241234</v>
      </c>
      <c r="J79" s="218">
        <v>5835022551</v>
      </c>
      <c r="K79" s="217" t="s">
        <v>112</v>
      </c>
      <c r="L79" s="218">
        <v>5818641876</v>
      </c>
      <c r="M79" s="218">
        <v>6843114</v>
      </c>
      <c r="N79" s="218">
        <v>5818641876</v>
      </c>
      <c r="O79" s="219">
        <v>0.95930000000000004</v>
      </c>
      <c r="P79" s="8">
        <v>6694781998.0500002</v>
      </c>
      <c r="Q79" s="183">
        <f t="shared" si="32"/>
        <v>9.4034542757832518E-2</v>
      </c>
      <c r="R79" s="347">
        <v>6694781998.0500002</v>
      </c>
    </row>
    <row r="80" spans="1:18" s="177" customFormat="1">
      <c r="A80" s="10"/>
      <c r="B80" s="14" t="s">
        <v>231</v>
      </c>
      <c r="C80" s="10" t="s">
        <v>232</v>
      </c>
      <c r="D80" s="25" t="s">
        <v>59</v>
      </c>
      <c r="E80" s="9" t="s">
        <v>233</v>
      </c>
      <c r="F80" s="216">
        <v>107800000</v>
      </c>
      <c r="G80" s="217" t="s">
        <v>48</v>
      </c>
      <c r="H80" s="218">
        <v>39000000</v>
      </c>
      <c r="I80" s="218">
        <v>146800000</v>
      </c>
      <c r="J80" s="218">
        <v>85473407</v>
      </c>
      <c r="K80" s="217" t="s">
        <v>112</v>
      </c>
      <c r="L80" s="218">
        <v>84723285</v>
      </c>
      <c r="M80" s="217" t="s">
        <v>113</v>
      </c>
      <c r="N80" s="218">
        <v>84723285</v>
      </c>
      <c r="O80" s="219">
        <v>0.57709999999999995</v>
      </c>
      <c r="P80" s="8">
        <v>147581201.74000001</v>
      </c>
      <c r="Q80" s="183">
        <f t="shared" si="32"/>
        <v>5.2933688761817067E-3</v>
      </c>
      <c r="R80" s="347">
        <v>147581201.74000001</v>
      </c>
    </row>
    <row r="81" spans="1:18">
      <c r="A81" s="21" t="s">
        <v>234</v>
      </c>
      <c r="B81" s="77" t="s">
        <v>235</v>
      </c>
      <c r="C81" s="21" t="s">
        <v>236</v>
      </c>
      <c r="D81" s="78"/>
      <c r="E81" s="21" t="s">
        <v>237</v>
      </c>
      <c r="F81" s="211">
        <v>5771782000</v>
      </c>
      <c r="G81" s="212" t="s">
        <v>48</v>
      </c>
      <c r="H81" s="213">
        <v>-350222007</v>
      </c>
      <c r="I81" s="213">
        <v>5421559993</v>
      </c>
      <c r="J81" s="213">
        <v>4466740657</v>
      </c>
      <c r="K81" s="213">
        <v>17411879</v>
      </c>
      <c r="L81" s="213">
        <v>4402300726</v>
      </c>
      <c r="M81" s="213">
        <v>15573495</v>
      </c>
      <c r="N81" s="213">
        <v>4386195757</v>
      </c>
      <c r="O81" s="214">
        <v>0.81200000000000006</v>
      </c>
      <c r="P81" s="7">
        <f t="shared" ref="G81:P81" si="33">SUM(P82:P84)</f>
        <v>7185369760.3800001</v>
      </c>
      <c r="Q81" s="183">
        <f t="shared" si="32"/>
        <v>0.24547237319721743</v>
      </c>
      <c r="R81" s="346">
        <f>SUM(R82:R84)</f>
        <v>7185369760.3800001</v>
      </c>
    </row>
    <row r="82" spans="1:18" s="177" customFormat="1">
      <c r="A82" s="10"/>
      <c r="B82" s="14" t="s">
        <v>238</v>
      </c>
      <c r="C82" s="10" t="s">
        <v>239</v>
      </c>
      <c r="D82" s="25" t="s">
        <v>51</v>
      </c>
      <c r="E82" s="9" t="s">
        <v>240</v>
      </c>
      <c r="F82" s="216">
        <v>529882000</v>
      </c>
      <c r="G82" s="217" t="s">
        <v>48</v>
      </c>
      <c r="H82" s="218">
        <v>50915991</v>
      </c>
      <c r="I82" s="218">
        <v>580797991</v>
      </c>
      <c r="J82" s="218">
        <v>433937831</v>
      </c>
      <c r="K82" s="218">
        <v>1306910</v>
      </c>
      <c r="L82" s="218">
        <v>414238247</v>
      </c>
      <c r="M82" s="218">
        <v>13584046</v>
      </c>
      <c r="N82" s="218">
        <v>414238247</v>
      </c>
      <c r="O82" s="219">
        <v>0.71319999999999995</v>
      </c>
      <c r="P82" s="8">
        <v>1104619144.0599999</v>
      </c>
      <c r="Q82" s="183">
        <f t="shared" si="32"/>
        <v>0.47420973633926755</v>
      </c>
      <c r="R82" s="347">
        <v>1104619144.0599999</v>
      </c>
    </row>
    <row r="83" spans="1:18" s="176" customFormat="1">
      <c r="A83" s="10"/>
      <c r="B83" s="14" t="s">
        <v>241</v>
      </c>
      <c r="C83" s="10" t="s">
        <v>242</v>
      </c>
      <c r="D83" s="25" t="s">
        <v>55</v>
      </c>
      <c r="E83" s="9" t="s">
        <v>243</v>
      </c>
      <c r="F83" s="216">
        <v>5146300000</v>
      </c>
      <c r="G83" s="217" t="s">
        <v>48</v>
      </c>
      <c r="H83" s="218">
        <v>-476681241</v>
      </c>
      <c r="I83" s="218">
        <v>4669618759</v>
      </c>
      <c r="J83" s="218">
        <v>3891659583</v>
      </c>
      <c r="K83" s="218">
        <v>16104969</v>
      </c>
      <c r="L83" s="218">
        <v>3846919236</v>
      </c>
      <c r="M83" s="218">
        <v>1989449</v>
      </c>
      <c r="N83" s="218">
        <v>3830814267</v>
      </c>
      <c r="O83" s="219">
        <v>0.82379999999999998</v>
      </c>
      <c r="P83" s="8">
        <v>5936882149.21</v>
      </c>
      <c r="Q83" s="183">
        <f t="shared" si="32"/>
        <v>0.21345604618050745</v>
      </c>
      <c r="R83" s="347">
        <v>5936882149.21</v>
      </c>
    </row>
    <row r="84" spans="1:18" s="177" customFormat="1">
      <c r="A84" s="10"/>
      <c r="B84" s="14" t="s">
        <v>244</v>
      </c>
      <c r="C84" s="10" t="s">
        <v>245</v>
      </c>
      <c r="D84" s="25" t="s">
        <v>59</v>
      </c>
      <c r="E84" s="9" t="s">
        <v>246</v>
      </c>
      <c r="F84" s="216">
        <v>95600000</v>
      </c>
      <c r="G84" s="217" t="s">
        <v>48</v>
      </c>
      <c r="H84" s="218">
        <v>75543243</v>
      </c>
      <c r="I84" s="218">
        <v>171143243</v>
      </c>
      <c r="J84" s="218">
        <v>141143243</v>
      </c>
      <c r="K84" s="217" t="s">
        <v>112</v>
      </c>
      <c r="L84" s="218">
        <v>141143243</v>
      </c>
      <c r="M84" s="217" t="s">
        <v>113</v>
      </c>
      <c r="N84" s="218">
        <v>141143243</v>
      </c>
      <c r="O84" s="219">
        <v>0.82469999999999999</v>
      </c>
      <c r="P84" s="8">
        <v>143868467.11000001</v>
      </c>
      <c r="Q84" s="183">
        <f t="shared" si="32"/>
        <v>-0.18958133382449982</v>
      </c>
      <c r="R84" s="347">
        <v>143868467.11000001</v>
      </c>
    </row>
    <row r="85" spans="1:18">
      <c r="A85" s="72" t="s">
        <v>247</v>
      </c>
      <c r="B85" s="73" t="s">
        <v>248</v>
      </c>
      <c r="C85" s="74" t="s">
        <v>249</v>
      </c>
      <c r="D85" s="75"/>
      <c r="E85" s="20" t="s">
        <v>250</v>
      </c>
      <c r="F85" s="206">
        <v>6443100000</v>
      </c>
      <c r="G85" s="207" t="s">
        <v>35</v>
      </c>
      <c r="H85" s="208">
        <v>-126664150</v>
      </c>
      <c r="I85" s="208">
        <v>6316435850</v>
      </c>
      <c r="J85" s="208">
        <v>3444910800</v>
      </c>
      <c r="K85" s="208">
        <v>535607100</v>
      </c>
      <c r="L85" s="208">
        <v>3444910800</v>
      </c>
      <c r="M85" s="208">
        <v>535607100</v>
      </c>
      <c r="N85" s="208">
        <v>3444910800</v>
      </c>
      <c r="O85" s="209">
        <v>0.5454</v>
      </c>
      <c r="P85" s="76">
        <f t="shared" ref="G85:P85" si="34">+P86</f>
        <v>7329465709.2400007</v>
      </c>
      <c r="Q85" s="183">
        <f t="shared" si="32"/>
        <v>0.13821332951498899</v>
      </c>
      <c r="R85" s="345">
        <f>+R86</f>
        <v>7329465709.2400007</v>
      </c>
    </row>
    <row r="86" spans="1:18">
      <c r="A86" s="21" t="s">
        <v>251</v>
      </c>
      <c r="B86" s="77" t="s">
        <v>252</v>
      </c>
      <c r="C86" s="21" t="s">
        <v>253</v>
      </c>
      <c r="D86" s="78"/>
      <c r="E86" s="21" t="s">
        <v>254</v>
      </c>
      <c r="F86" s="211">
        <v>6443100000</v>
      </c>
      <c r="G86" s="212" t="s">
        <v>48</v>
      </c>
      <c r="H86" s="213">
        <v>-126664150</v>
      </c>
      <c r="I86" s="213">
        <v>6316435850</v>
      </c>
      <c r="J86" s="213">
        <v>3444910800</v>
      </c>
      <c r="K86" s="213">
        <v>535607100</v>
      </c>
      <c r="L86" s="213">
        <v>3444910800</v>
      </c>
      <c r="M86" s="213">
        <v>535607100</v>
      </c>
      <c r="N86" s="213">
        <v>3444910800</v>
      </c>
      <c r="O86" s="214">
        <v>0.5454</v>
      </c>
      <c r="P86" s="7">
        <f t="shared" ref="G86:P86" si="35">SUM(P87:P89)</f>
        <v>7329465709.2400007</v>
      </c>
      <c r="Q86" s="183">
        <f t="shared" si="32"/>
        <v>0.13821332951498899</v>
      </c>
      <c r="R86" s="346">
        <f>SUM(R87:R89)</f>
        <v>7329465709.2400007</v>
      </c>
    </row>
    <row r="87" spans="1:18" s="176" customFormat="1">
      <c r="A87" s="10"/>
      <c r="B87" s="14" t="s">
        <v>255</v>
      </c>
      <c r="C87" s="10" t="s">
        <v>256</v>
      </c>
      <c r="D87" s="25" t="s">
        <v>51</v>
      </c>
      <c r="E87" s="9" t="s">
        <v>257</v>
      </c>
      <c r="F87" s="216">
        <v>1089700000</v>
      </c>
      <c r="G87" s="217" t="s">
        <v>48</v>
      </c>
      <c r="H87" s="218">
        <v>-147045150</v>
      </c>
      <c r="I87" s="218">
        <v>942654850</v>
      </c>
      <c r="J87" s="218">
        <v>547598800</v>
      </c>
      <c r="K87" s="218">
        <v>83242500</v>
      </c>
      <c r="L87" s="218">
        <v>547598800</v>
      </c>
      <c r="M87" s="218">
        <v>83242500</v>
      </c>
      <c r="N87" s="218">
        <v>547598800</v>
      </c>
      <c r="O87" s="219">
        <v>0.58089999999999997</v>
      </c>
      <c r="P87" s="8">
        <v>1166734032.5999999</v>
      </c>
      <c r="Q87" s="183">
        <f t="shared" si="32"/>
        <v>0.19205678101345197</v>
      </c>
      <c r="R87" s="347">
        <v>1166734032.5999999</v>
      </c>
    </row>
    <row r="88" spans="1:18" s="177" customFormat="1">
      <c r="A88" s="10"/>
      <c r="B88" s="14" t="s">
        <v>258</v>
      </c>
      <c r="C88" s="10" t="s">
        <v>259</v>
      </c>
      <c r="D88" s="25" t="s">
        <v>55</v>
      </c>
      <c r="E88" s="9" t="s">
        <v>260</v>
      </c>
      <c r="F88" s="216">
        <v>5255800000</v>
      </c>
      <c r="G88" s="217" t="s">
        <v>48</v>
      </c>
      <c r="H88" s="217" t="s">
        <v>48</v>
      </c>
      <c r="I88" s="218">
        <v>5255800000</v>
      </c>
      <c r="J88" s="218">
        <v>2839040900</v>
      </c>
      <c r="K88" s="218">
        <v>446403100</v>
      </c>
      <c r="L88" s="218">
        <v>2839040900</v>
      </c>
      <c r="M88" s="218">
        <v>446403100</v>
      </c>
      <c r="N88" s="218">
        <v>2839040900</v>
      </c>
      <c r="O88" s="219">
        <v>0.54020000000000001</v>
      </c>
      <c r="P88" s="8">
        <v>6063198790.6800003</v>
      </c>
      <c r="Q88" s="183">
        <f t="shared" si="32"/>
        <v>0.13316383291293157</v>
      </c>
      <c r="R88" s="347">
        <v>6063198790.6800003</v>
      </c>
    </row>
    <row r="89" spans="1:18" s="176" customFormat="1">
      <c r="A89" s="10"/>
      <c r="B89" s="14" t="s">
        <v>261</v>
      </c>
      <c r="C89" s="10" t="s">
        <v>262</v>
      </c>
      <c r="D89" s="25" t="s">
        <v>59</v>
      </c>
      <c r="E89" s="9" t="s">
        <v>263</v>
      </c>
      <c r="F89" s="216">
        <v>97600000</v>
      </c>
      <c r="G89" s="217" t="s">
        <v>48</v>
      </c>
      <c r="H89" s="218">
        <v>20381000</v>
      </c>
      <c r="I89" s="218">
        <v>117981000</v>
      </c>
      <c r="J89" s="218">
        <v>58271100</v>
      </c>
      <c r="K89" s="218">
        <v>5961500</v>
      </c>
      <c r="L89" s="218">
        <v>58271100</v>
      </c>
      <c r="M89" s="218">
        <v>5961500</v>
      </c>
      <c r="N89" s="218">
        <v>58271100</v>
      </c>
      <c r="O89" s="219">
        <v>0.49390000000000001</v>
      </c>
      <c r="P89" s="8">
        <v>99532885.959999993</v>
      </c>
      <c r="Q89" s="183">
        <f t="shared" si="32"/>
        <v>-0.18534692189487889</v>
      </c>
      <c r="R89" s="347">
        <v>99532885.959999993</v>
      </c>
    </row>
    <row r="90" spans="1:18">
      <c r="A90" s="72" t="s">
        <v>264</v>
      </c>
      <c r="B90" s="73" t="s">
        <v>265</v>
      </c>
      <c r="C90" s="74" t="s">
        <v>266</v>
      </c>
      <c r="D90" s="75"/>
      <c r="E90" s="20" t="s">
        <v>267</v>
      </c>
      <c r="F90" s="206">
        <v>842000000</v>
      </c>
      <c r="G90" s="207" t="s">
        <v>35</v>
      </c>
      <c r="H90" s="208">
        <v>-186005680</v>
      </c>
      <c r="I90" s="208">
        <v>655994320</v>
      </c>
      <c r="J90" s="208">
        <v>367616900</v>
      </c>
      <c r="K90" s="208">
        <v>62336300</v>
      </c>
      <c r="L90" s="208">
        <v>367616900</v>
      </c>
      <c r="M90" s="208">
        <v>62336300</v>
      </c>
      <c r="N90" s="208">
        <v>367616900</v>
      </c>
      <c r="O90" s="209">
        <v>0.56040000000000001</v>
      </c>
      <c r="P90" s="76">
        <f t="shared" ref="G90:P90" si="36">+P91</f>
        <v>957874463.39999998</v>
      </c>
      <c r="Q90" s="183">
        <f t="shared" si="32"/>
        <v>0.31515627040360661</v>
      </c>
      <c r="R90" s="345">
        <f>+R91</f>
        <v>957874463.39999998</v>
      </c>
    </row>
    <row r="91" spans="1:18">
      <c r="A91" s="21" t="s">
        <v>268</v>
      </c>
      <c r="B91" s="77" t="s">
        <v>269</v>
      </c>
      <c r="C91" s="21" t="s">
        <v>270</v>
      </c>
      <c r="D91" s="78"/>
      <c r="E91" s="21" t="s">
        <v>271</v>
      </c>
      <c r="F91" s="211">
        <v>842000000</v>
      </c>
      <c r="G91" s="212" t="s">
        <v>48</v>
      </c>
      <c r="H91" s="213">
        <v>-186005680</v>
      </c>
      <c r="I91" s="213">
        <v>655994320</v>
      </c>
      <c r="J91" s="213">
        <v>367616900</v>
      </c>
      <c r="K91" s="213">
        <v>62336300</v>
      </c>
      <c r="L91" s="213">
        <v>367616900</v>
      </c>
      <c r="M91" s="213">
        <v>62336300</v>
      </c>
      <c r="N91" s="213">
        <v>367616900</v>
      </c>
      <c r="O91" s="214">
        <v>0.56040000000000001</v>
      </c>
      <c r="P91" s="7">
        <f t="shared" ref="G91:P91" si="37">SUM(P92:P94)</f>
        <v>957874463.39999998</v>
      </c>
      <c r="Q91" s="183">
        <f t="shared" si="32"/>
        <v>0.31515627040360661</v>
      </c>
      <c r="R91" s="346">
        <f>SUM(R92:R94)</f>
        <v>957874463.39999998</v>
      </c>
    </row>
    <row r="92" spans="1:18" s="176" customFormat="1">
      <c r="A92" s="10"/>
      <c r="B92" s="14" t="s">
        <v>272</v>
      </c>
      <c r="C92" s="10" t="s">
        <v>273</v>
      </c>
      <c r="D92" s="25" t="s">
        <v>51</v>
      </c>
      <c r="E92" s="9" t="s">
        <v>274</v>
      </c>
      <c r="F92" s="216">
        <v>143300000</v>
      </c>
      <c r="G92" s="217" t="s">
        <v>48</v>
      </c>
      <c r="H92" s="218">
        <v>-36083390</v>
      </c>
      <c r="I92" s="218">
        <v>107216610</v>
      </c>
      <c r="J92" s="218">
        <v>61547200</v>
      </c>
      <c r="K92" s="218">
        <v>10371600</v>
      </c>
      <c r="L92" s="218">
        <v>61547200</v>
      </c>
      <c r="M92" s="218">
        <v>10371600</v>
      </c>
      <c r="N92" s="218">
        <v>61547200</v>
      </c>
      <c r="O92" s="219">
        <v>0.57399999999999995</v>
      </c>
      <c r="P92" s="8">
        <v>153637979.59999999</v>
      </c>
      <c r="Q92" s="183">
        <f t="shared" si="32"/>
        <v>0.30214774836833375</v>
      </c>
      <c r="R92" s="347">
        <v>153637979.59999999</v>
      </c>
    </row>
    <row r="93" spans="1:18" s="176" customFormat="1">
      <c r="A93" s="10"/>
      <c r="B93" s="14" t="s">
        <v>275</v>
      </c>
      <c r="C93" s="10" t="s">
        <v>276</v>
      </c>
      <c r="D93" s="25" t="s">
        <v>55</v>
      </c>
      <c r="E93" s="9" t="s">
        <v>277</v>
      </c>
      <c r="F93" s="216">
        <v>685900000</v>
      </c>
      <c r="G93" s="217" t="s">
        <v>48</v>
      </c>
      <c r="H93" s="218">
        <v>-149922290</v>
      </c>
      <c r="I93" s="218">
        <v>535977710</v>
      </c>
      <c r="J93" s="218">
        <v>300877100</v>
      </c>
      <c r="K93" s="218">
        <v>51301300</v>
      </c>
      <c r="L93" s="218">
        <v>300877100</v>
      </c>
      <c r="M93" s="218">
        <v>51301300</v>
      </c>
      <c r="N93" s="218">
        <v>300877100</v>
      </c>
      <c r="O93" s="219">
        <v>0.56140000000000001</v>
      </c>
      <c r="P93" s="8">
        <v>791247442.17999995</v>
      </c>
      <c r="Q93" s="183">
        <f t="shared" si="32"/>
        <v>0.32261681816840421</v>
      </c>
      <c r="R93" s="347">
        <v>791247442.17999995</v>
      </c>
    </row>
    <row r="94" spans="1:18" s="176" customFormat="1">
      <c r="A94" s="10"/>
      <c r="B94" s="14" t="s">
        <v>278</v>
      </c>
      <c r="C94" s="10" t="s">
        <v>279</v>
      </c>
      <c r="D94" s="25" t="s">
        <v>59</v>
      </c>
      <c r="E94" s="9" t="s">
        <v>280</v>
      </c>
      <c r="F94" s="216">
        <v>12800000</v>
      </c>
      <c r="G94" s="217" t="s">
        <v>48</v>
      </c>
      <c r="H94" s="217" t="s">
        <v>48</v>
      </c>
      <c r="I94" s="218">
        <v>12800000</v>
      </c>
      <c r="J94" s="218">
        <v>5192600</v>
      </c>
      <c r="K94" s="218">
        <v>663400</v>
      </c>
      <c r="L94" s="218">
        <v>5192600</v>
      </c>
      <c r="M94" s="218">
        <v>663400</v>
      </c>
      <c r="N94" s="218">
        <v>5192600</v>
      </c>
      <c r="O94" s="219">
        <v>0.40570000000000001</v>
      </c>
      <c r="P94" s="8">
        <v>12989041.619999999</v>
      </c>
      <c r="Q94" s="183">
        <f t="shared" si="32"/>
        <v>1.4553931346937912E-2</v>
      </c>
      <c r="R94" s="347">
        <v>12989041.619999999</v>
      </c>
    </row>
    <row r="95" spans="1:18">
      <c r="A95" s="72" t="s">
        <v>281</v>
      </c>
      <c r="B95" s="73" t="s">
        <v>282</v>
      </c>
      <c r="C95" s="74" t="s">
        <v>283</v>
      </c>
      <c r="D95" s="75"/>
      <c r="E95" s="20" t="s">
        <v>284</v>
      </c>
      <c r="F95" s="206">
        <v>4764500000</v>
      </c>
      <c r="G95" s="207" t="s">
        <v>35</v>
      </c>
      <c r="H95" s="208">
        <v>-60447645</v>
      </c>
      <c r="I95" s="208">
        <v>4704052355</v>
      </c>
      <c r="J95" s="208">
        <v>2583795800</v>
      </c>
      <c r="K95" s="208">
        <v>401729000</v>
      </c>
      <c r="L95" s="208">
        <v>2583795800</v>
      </c>
      <c r="M95" s="208">
        <v>401729000</v>
      </c>
      <c r="N95" s="208">
        <v>2583795800</v>
      </c>
      <c r="O95" s="209">
        <v>0.54930000000000001</v>
      </c>
      <c r="P95" s="76">
        <f t="shared" ref="G95:P95" si="38">+P96</f>
        <v>5432096281.5600004</v>
      </c>
      <c r="Q95" s="183">
        <f t="shared" si="32"/>
        <v>0.13402632958319349</v>
      </c>
      <c r="R95" s="345">
        <f>+R96</f>
        <v>5432096281.5600004</v>
      </c>
    </row>
    <row r="96" spans="1:18">
      <c r="A96" s="21" t="s">
        <v>281</v>
      </c>
      <c r="B96" s="77" t="s">
        <v>282</v>
      </c>
      <c r="C96" s="21" t="s">
        <v>283</v>
      </c>
      <c r="D96" s="78"/>
      <c r="E96" s="21" t="s">
        <v>284</v>
      </c>
      <c r="F96" s="211">
        <v>4764500000</v>
      </c>
      <c r="G96" s="212" t="s">
        <v>48</v>
      </c>
      <c r="H96" s="213">
        <v>-60447645</v>
      </c>
      <c r="I96" s="213">
        <v>4704052355</v>
      </c>
      <c r="J96" s="213">
        <v>2583795800</v>
      </c>
      <c r="K96" s="213">
        <v>401729000</v>
      </c>
      <c r="L96" s="213">
        <v>2583795800</v>
      </c>
      <c r="M96" s="213">
        <v>401729000</v>
      </c>
      <c r="N96" s="213">
        <v>2583795800</v>
      </c>
      <c r="O96" s="214">
        <v>0.54930000000000001</v>
      </c>
      <c r="P96" s="7">
        <f t="shared" ref="G96:P96" si="39">SUM(P97:P99)</f>
        <v>5432096281.5600004</v>
      </c>
      <c r="Q96" s="183">
        <f t="shared" si="32"/>
        <v>0.13402632958319349</v>
      </c>
      <c r="R96" s="346">
        <f>SUM(R97:R99)</f>
        <v>5432096281.5600004</v>
      </c>
    </row>
    <row r="97" spans="1:18" s="176" customFormat="1">
      <c r="A97" s="10"/>
      <c r="B97" s="14" t="s">
        <v>285</v>
      </c>
      <c r="C97" s="10" t="s">
        <v>286</v>
      </c>
      <c r="D97" s="25" t="s">
        <v>51</v>
      </c>
      <c r="E97" s="9" t="s">
        <v>287</v>
      </c>
      <c r="F97" s="216">
        <v>749500000</v>
      </c>
      <c r="G97" s="217" t="s">
        <v>48</v>
      </c>
      <c r="H97" s="218">
        <v>-57568770</v>
      </c>
      <c r="I97" s="218">
        <v>691931230</v>
      </c>
      <c r="J97" s="218">
        <v>410722900</v>
      </c>
      <c r="K97" s="218">
        <v>62435900</v>
      </c>
      <c r="L97" s="218">
        <v>410722900</v>
      </c>
      <c r="M97" s="218">
        <v>62435900</v>
      </c>
      <c r="N97" s="218">
        <v>410722900</v>
      </c>
      <c r="O97" s="219">
        <v>0.59360000000000002</v>
      </c>
      <c r="P97" s="8">
        <v>810047524.08000004</v>
      </c>
      <c r="Q97" s="183">
        <f t="shared" si="32"/>
        <v>0.14581403012637925</v>
      </c>
      <c r="R97" s="347">
        <v>810047524.08000004</v>
      </c>
    </row>
    <row r="98" spans="1:18" s="176" customFormat="1">
      <c r="A98" s="10"/>
      <c r="B98" s="14" t="s">
        <v>288</v>
      </c>
      <c r="C98" s="10" t="s">
        <v>289</v>
      </c>
      <c r="D98" s="25" t="s">
        <v>55</v>
      </c>
      <c r="E98" s="9" t="s">
        <v>290</v>
      </c>
      <c r="F98" s="216">
        <v>3941800000</v>
      </c>
      <c r="G98" s="217" t="s">
        <v>48</v>
      </c>
      <c r="H98" s="218">
        <v>-18417875</v>
      </c>
      <c r="I98" s="218">
        <v>3923382125</v>
      </c>
      <c r="J98" s="218">
        <v>2129366300</v>
      </c>
      <c r="K98" s="218">
        <v>334821200</v>
      </c>
      <c r="L98" s="218">
        <v>2129366300</v>
      </c>
      <c r="M98" s="218">
        <v>334821200</v>
      </c>
      <c r="N98" s="218">
        <v>2129366300</v>
      </c>
      <c r="O98" s="219">
        <v>0.54269999999999996</v>
      </c>
      <c r="P98" s="8">
        <v>4547399093.0100002</v>
      </c>
      <c r="Q98" s="183">
        <f t="shared" si="32"/>
        <v>0.13722502803178263</v>
      </c>
      <c r="R98" s="347">
        <v>4547399093.0100002</v>
      </c>
    </row>
    <row r="99" spans="1:18" s="176" customFormat="1">
      <c r="A99" s="10"/>
      <c r="B99" s="14" t="s">
        <v>291</v>
      </c>
      <c r="C99" s="10" t="s">
        <v>292</v>
      </c>
      <c r="D99" s="25" t="s">
        <v>59</v>
      </c>
      <c r="E99" s="9" t="s">
        <v>293</v>
      </c>
      <c r="F99" s="216">
        <v>73200000</v>
      </c>
      <c r="G99" s="217" t="s">
        <v>48</v>
      </c>
      <c r="H99" s="218">
        <v>15539000</v>
      </c>
      <c r="I99" s="218">
        <v>88739000</v>
      </c>
      <c r="J99" s="218">
        <v>43706600</v>
      </c>
      <c r="K99" s="218">
        <v>4471900</v>
      </c>
      <c r="L99" s="218">
        <v>43706600</v>
      </c>
      <c r="M99" s="218">
        <v>4471900</v>
      </c>
      <c r="N99" s="218">
        <v>43706600</v>
      </c>
      <c r="O99" s="219">
        <v>0.49249999999999999</v>
      </c>
      <c r="P99" s="8">
        <v>74649664.469999999</v>
      </c>
      <c r="Q99" s="183">
        <f t="shared" si="32"/>
        <v>-0.18873943546875799</v>
      </c>
      <c r="R99" s="347">
        <v>74649664.469999999</v>
      </c>
    </row>
    <row r="100" spans="1:18">
      <c r="A100" s="65" t="s">
        <v>294</v>
      </c>
      <c r="B100" s="65" t="s">
        <v>295</v>
      </c>
      <c r="C100" s="65" t="s">
        <v>296</v>
      </c>
      <c r="D100" s="65"/>
      <c r="E100" s="65" t="s">
        <v>297</v>
      </c>
      <c r="F100" s="198">
        <v>9152514000</v>
      </c>
      <c r="G100" s="199" t="s">
        <v>35</v>
      </c>
      <c r="H100" s="200">
        <v>-4809759</v>
      </c>
      <c r="I100" s="200">
        <v>9151457687</v>
      </c>
      <c r="J100" s="200">
        <v>7683836383</v>
      </c>
      <c r="K100" s="200">
        <v>83739587</v>
      </c>
      <c r="L100" s="200">
        <v>7677340173</v>
      </c>
      <c r="M100" s="200">
        <v>83896299</v>
      </c>
      <c r="N100" s="200">
        <v>3221762647</v>
      </c>
      <c r="O100" s="201">
        <v>0.83889999999999998</v>
      </c>
      <c r="P100" s="66">
        <f t="shared" ref="G100:P100" si="40">+P101+P104+P105+P106</f>
        <v>9591657572.0299988</v>
      </c>
      <c r="Q100" s="183">
        <f t="shared" si="32"/>
        <v>4.58940367422681E-2</v>
      </c>
      <c r="R100" s="343">
        <f>+R101+R104+R105+R106</f>
        <v>9591657572.0299988</v>
      </c>
    </row>
    <row r="101" spans="1:18">
      <c r="A101" s="72" t="s">
        <v>298</v>
      </c>
      <c r="B101" s="73" t="s">
        <v>299</v>
      </c>
      <c r="C101" s="74" t="s">
        <v>300</v>
      </c>
      <c r="D101" s="75"/>
      <c r="E101" s="20" t="s">
        <v>98</v>
      </c>
      <c r="F101" s="206">
        <v>90000000</v>
      </c>
      <c r="G101" s="207" t="s">
        <v>35</v>
      </c>
      <c r="H101" s="207" t="s">
        <v>35</v>
      </c>
      <c r="I101" s="208">
        <v>90000000</v>
      </c>
      <c r="J101" s="208">
        <v>11037250</v>
      </c>
      <c r="K101" s="208">
        <v>2501846</v>
      </c>
      <c r="L101" s="208">
        <v>7791040</v>
      </c>
      <c r="M101" s="208">
        <v>2658558</v>
      </c>
      <c r="N101" s="208">
        <v>7791040</v>
      </c>
      <c r="O101" s="209">
        <v>8.6599999999999996E-2</v>
      </c>
      <c r="P101" s="76">
        <f t="shared" ref="G101:P101" si="41">SUM(P102:P103)</f>
        <v>96799156.099999994</v>
      </c>
      <c r="Q101" s="183">
        <f t="shared" si="32"/>
        <v>7.0239828258172127E-2</v>
      </c>
      <c r="R101" s="345">
        <f>SUM(R102:R103)</f>
        <v>96799156.099999994</v>
      </c>
    </row>
    <row r="102" spans="1:18" s="176" customFormat="1">
      <c r="A102" s="10" t="s">
        <v>301</v>
      </c>
      <c r="B102" s="14"/>
      <c r="C102" s="10" t="s">
        <v>302</v>
      </c>
      <c r="D102" s="25"/>
      <c r="E102" s="9" t="s">
        <v>303</v>
      </c>
      <c r="F102" s="215" t="s">
        <v>304</v>
      </c>
      <c r="G102" s="217" t="s">
        <v>48</v>
      </c>
      <c r="H102" s="217" t="s">
        <v>48</v>
      </c>
      <c r="I102" s="217" t="s">
        <v>304</v>
      </c>
      <c r="J102" s="217" t="s">
        <v>305</v>
      </c>
      <c r="K102" s="217" t="s">
        <v>112</v>
      </c>
      <c r="L102" s="217" t="s">
        <v>112</v>
      </c>
      <c r="M102" s="217" t="s">
        <v>113</v>
      </c>
      <c r="N102" s="217" t="s">
        <v>114</v>
      </c>
      <c r="O102" s="219">
        <v>0</v>
      </c>
      <c r="P102" s="8"/>
      <c r="Q102" s="183" t="e">
        <f t="shared" si="32"/>
        <v>#VALUE!</v>
      </c>
      <c r="R102" s="347"/>
    </row>
    <row r="103" spans="1:18" s="176" customFormat="1">
      <c r="A103" s="10" t="s">
        <v>306</v>
      </c>
      <c r="B103" s="14" t="s">
        <v>307</v>
      </c>
      <c r="C103" s="10" t="s">
        <v>308</v>
      </c>
      <c r="D103" s="25" t="s">
        <v>51</v>
      </c>
      <c r="E103" s="9" t="s">
        <v>309</v>
      </c>
      <c r="F103" s="216">
        <v>90000000</v>
      </c>
      <c r="G103" s="217" t="s">
        <v>48</v>
      </c>
      <c r="H103" s="217" t="s">
        <v>48</v>
      </c>
      <c r="I103" s="218">
        <v>90000000</v>
      </c>
      <c r="J103" s="218">
        <v>11037250</v>
      </c>
      <c r="K103" s="218">
        <v>2501846</v>
      </c>
      <c r="L103" s="218">
        <v>7791040</v>
      </c>
      <c r="M103" s="218">
        <v>2658558</v>
      </c>
      <c r="N103" s="218">
        <v>7791040</v>
      </c>
      <c r="O103" s="219">
        <v>8.6599999999999996E-2</v>
      </c>
      <c r="P103" s="8">
        <v>96799156.099999994</v>
      </c>
      <c r="Q103" s="183">
        <f t="shared" si="32"/>
        <v>7.0239828258172127E-2</v>
      </c>
      <c r="R103" s="347">
        <v>96799156.099999994</v>
      </c>
    </row>
    <row r="104" spans="1:18">
      <c r="A104" s="72" t="s">
        <v>310</v>
      </c>
      <c r="B104" s="73" t="s">
        <v>311</v>
      </c>
      <c r="C104" s="74" t="s">
        <v>312</v>
      </c>
      <c r="D104" s="75" t="s">
        <v>51</v>
      </c>
      <c r="E104" s="20" t="s">
        <v>313</v>
      </c>
      <c r="F104" s="206">
        <v>349900000</v>
      </c>
      <c r="G104" s="207" t="s">
        <v>35</v>
      </c>
      <c r="H104" s="207" t="s">
        <v>35</v>
      </c>
      <c r="I104" s="208">
        <v>349900000</v>
      </c>
      <c r="J104" s="208">
        <v>4071399</v>
      </c>
      <c r="K104" s="207" t="s">
        <v>314</v>
      </c>
      <c r="L104" s="208">
        <v>4071399</v>
      </c>
      <c r="M104" s="207" t="s">
        <v>315</v>
      </c>
      <c r="N104" s="208">
        <v>4071399</v>
      </c>
      <c r="O104" s="209">
        <v>1.1599999999999999E-2</v>
      </c>
      <c r="P104" s="76">
        <v>382816279.20999998</v>
      </c>
      <c r="Q104" s="183">
        <f t="shared" si="32"/>
        <v>8.5984533567714946E-2</v>
      </c>
      <c r="R104" s="345">
        <v>382816279.20999998</v>
      </c>
    </row>
    <row r="105" spans="1:18">
      <c r="A105" s="72" t="s">
        <v>316</v>
      </c>
      <c r="B105" s="73" t="s">
        <v>317</v>
      </c>
      <c r="C105" s="74" t="s">
        <v>318</v>
      </c>
      <c r="D105" s="75" t="s">
        <v>51</v>
      </c>
      <c r="E105" s="20" t="s">
        <v>319</v>
      </c>
      <c r="F105" s="206">
        <v>251600000</v>
      </c>
      <c r="G105" s="207" t="s">
        <v>35</v>
      </c>
      <c r="H105" s="208">
        <v>-33692219</v>
      </c>
      <c r="I105" s="208">
        <v>217907781</v>
      </c>
      <c r="J105" s="208">
        <v>137029063</v>
      </c>
      <c r="K105" s="208">
        <v>14405507</v>
      </c>
      <c r="L105" s="208">
        <v>137029063</v>
      </c>
      <c r="M105" s="208">
        <v>14405507</v>
      </c>
      <c r="N105" s="208">
        <v>137029063</v>
      </c>
      <c r="O105" s="209">
        <v>0.62880000000000003</v>
      </c>
      <c r="P105" s="76">
        <v>284402030.75999999</v>
      </c>
      <c r="Q105" s="183">
        <f t="shared" si="32"/>
        <v>0.23380370942608664</v>
      </c>
      <c r="R105" s="345">
        <v>284402030.75999999</v>
      </c>
    </row>
    <row r="106" spans="1:18">
      <c r="A106" s="72" t="s">
        <v>320</v>
      </c>
      <c r="B106" s="73" t="s">
        <v>321</v>
      </c>
      <c r="C106" s="74" t="s">
        <v>322</v>
      </c>
      <c r="D106" s="75"/>
      <c r="E106" s="20" t="s">
        <v>323</v>
      </c>
      <c r="F106" s="206">
        <v>8461014000</v>
      </c>
      <c r="G106" s="207" t="s">
        <v>35</v>
      </c>
      <c r="H106" s="208">
        <v>28882460</v>
      </c>
      <c r="I106" s="208">
        <v>8493649906</v>
      </c>
      <c r="J106" s="208">
        <v>7531698671</v>
      </c>
      <c r="K106" s="208">
        <v>66832234</v>
      </c>
      <c r="L106" s="208">
        <v>7528448671</v>
      </c>
      <c r="M106" s="208">
        <v>66832234</v>
      </c>
      <c r="N106" s="208">
        <v>3072871145</v>
      </c>
      <c r="O106" s="209">
        <v>0.88639999999999997</v>
      </c>
      <c r="P106" s="76">
        <f t="shared" ref="G106:P106" si="42">+P107</f>
        <v>8827640105.9599991</v>
      </c>
      <c r="Q106" s="183">
        <f t="shared" si="32"/>
        <v>3.7834596330507959E-2</v>
      </c>
      <c r="R106" s="345">
        <f>+R107</f>
        <v>8827640105.9599991</v>
      </c>
    </row>
    <row r="107" spans="1:18">
      <c r="A107" s="21" t="s">
        <v>320</v>
      </c>
      <c r="B107" s="77" t="s">
        <v>324</v>
      </c>
      <c r="C107" s="21" t="s">
        <v>322</v>
      </c>
      <c r="D107" s="78"/>
      <c r="E107" s="21" t="s">
        <v>323</v>
      </c>
      <c r="F107" s="220">
        <v>8461014000</v>
      </c>
      <c r="G107" s="221" t="s">
        <v>48</v>
      </c>
      <c r="H107" s="222">
        <v>28882460</v>
      </c>
      <c r="I107" s="222">
        <v>8493649906</v>
      </c>
      <c r="J107" s="222">
        <v>7531698671</v>
      </c>
      <c r="K107" s="222">
        <v>66832234</v>
      </c>
      <c r="L107" s="222">
        <v>7528448671</v>
      </c>
      <c r="M107" s="222">
        <v>66832234</v>
      </c>
      <c r="N107" s="222">
        <v>3072871145</v>
      </c>
      <c r="O107" s="223">
        <v>0.88639999999999997</v>
      </c>
      <c r="P107" s="5">
        <f t="shared" ref="G107:P107" si="43">+P108+P110+P112+P117+P119+P121+P123+P125+P127+P129+P131+P133</f>
        <v>8827640105.9599991</v>
      </c>
      <c r="Q107" s="183">
        <f t="shared" si="32"/>
        <v>3.7834596330507959E-2</v>
      </c>
      <c r="R107" s="348">
        <f>+R108+R110+R112+R117+R119+R121+R123+R125+R127+R129+R131+R133</f>
        <v>8827640105.9599991</v>
      </c>
    </row>
    <row r="108" spans="1:18" s="177" customFormat="1">
      <c r="A108" s="10"/>
      <c r="B108" s="14" t="s">
        <v>325</v>
      </c>
      <c r="C108" s="10" t="s">
        <v>326</v>
      </c>
      <c r="D108" s="25"/>
      <c r="E108" s="9" t="s">
        <v>327</v>
      </c>
      <c r="F108" s="215" t="s">
        <v>304</v>
      </c>
      <c r="G108" s="217" t="s">
        <v>48</v>
      </c>
      <c r="H108" s="217" t="s">
        <v>48</v>
      </c>
      <c r="I108" s="217" t="s">
        <v>304</v>
      </c>
      <c r="J108" s="217" t="s">
        <v>305</v>
      </c>
      <c r="K108" s="217" t="s">
        <v>112</v>
      </c>
      <c r="L108" s="217" t="s">
        <v>112</v>
      </c>
      <c r="M108" s="217" t="s">
        <v>113</v>
      </c>
      <c r="N108" s="217" t="s">
        <v>114</v>
      </c>
      <c r="O108" s="219">
        <v>0</v>
      </c>
      <c r="P108" s="8">
        <v>351079786.06</v>
      </c>
      <c r="Q108" s="183" t="e">
        <f t="shared" si="32"/>
        <v>#VALUE!</v>
      </c>
      <c r="R108" s="347">
        <v>351079786.06</v>
      </c>
    </row>
    <row r="109" spans="1:18" s="177" customFormat="1">
      <c r="A109" s="79"/>
      <c r="B109" s="80"/>
      <c r="C109" s="79" t="s">
        <v>326</v>
      </c>
      <c r="D109" s="28" t="s">
        <v>59</v>
      </c>
      <c r="E109" s="29" t="s">
        <v>328</v>
      </c>
      <c r="F109" s="224" t="s">
        <v>304</v>
      </c>
      <c r="G109" s="225" t="s">
        <v>48</v>
      </c>
      <c r="H109" s="225" t="s">
        <v>48</v>
      </c>
      <c r="I109" s="225" t="s">
        <v>304</v>
      </c>
      <c r="J109" s="225" t="s">
        <v>305</v>
      </c>
      <c r="K109" s="225" t="s">
        <v>112</v>
      </c>
      <c r="L109" s="225" t="s">
        <v>112</v>
      </c>
      <c r="M109" s="225" t="s">
        <v>113</v>
      </c>
      <c r="N109" s="225" t="s">
        <v>114</v>
      </c>
      <c r="O109" s="226">
        <v>0</v>
      </c>
      <c r="P109" s="30"/>
      <c r="Q109" s="183" t="e">
        <f t="shared" si="32"/>
        <v>#VALUE!</v>
      </c>
      <c r="R109" s="171"/>
    </row>
    <row r="110" spans="1:18" s="176" customFormat="1">
      <c r="A110" s="10"/>
      <c r="B110" s="14" t="s">
        <v>329</v>
      </c>
      <c r="C110" s="10" t="s">
        <v>330</v>
      </c>
      <c r="D110" s="25"/>
      <c r="E110" s="9" t="s">
        <v>331</v>
      </c>
      <c r="F110" s="216">
        <v>104617000</v>
      </c>
      <c r="G110" s="217" t="s">
        <v>48</v>
      </c>
      <c r="H110" s="218">
        <v>-524561</v>
      </c>
      <c r="I110" s="218">
        <v>104092439</v>
      </c>
      <c r="J110" s="218">
        <v>104092439</v>
      </c>
      <c r="K110" s="217" t="s">
        <v>112</v>
      </c>
      <c r="L110" s="218">
        <v>104092439</v>
      </c>
      <c r="M110" s="217" t="s">
        <v>113</v>
      </c>
      <c r="N110" s="218">
        <v>104092439</v>
      </c>
      <c r="O110" s="219">
        <v>1</v>
      </c>
      <c r="P110" s="8">
        <f t="shared" ref="G110:P110" si="44">+P111</f>
        <v>160000000</v>
      </c>
      <c r="Q110" s="183">
        <f t="shared" si="32"/>
        <v>0.34942225625000001</v>
      </c>
      <c r="R110" s="347">
        <f>+R111</f>
        <v>160000000</v>
      </c>
    </row>
    <row r="111" spans="1:18" s="177" customFormat="1">
      <c r="A111" s="79"/>
      <c r="B111" s="80"/>
      <c r="C111" s="79" t="s">
        <v>330</v>
      </c>
      <c r="D111" s="28" t="s">
        <v>332</v>
      </c>
      <c r="E111" s="29" t="s">
        <v>333</v>
      </c>
      <c r="F111" s="227">
        <v>104617000</v>
      </c>
      <c r="G111" s="225" t="s">
        <v>48</v>
      </c>
      <c r="H111" s="228">
        <v>-524561</v>
      </c>
      <c r="I111" s="228">
        <v>104092439</v>
      </c>
      <c r="J111" s="228">
        <v>104092439</v>
      </c>
      <c r="K111" s="225" t="s">
        <v>112</v>
      </c>
      <c r="L111" s="228">
        <v>104092439</v>
      </c>
      <c r="M111" s="225" t="s">
        <v>113</v>
      </c>
      <c r="N111" s="228">
        <v>104092439</v>
      </c>
      <c r="O111" s="226">
        <v>1</v>
      </c>
      <c r="P111" s="30">
        <v>160000000</v>
      </c>
      <c r="Q111" s="183">
        <f t="shared" si="32"/>
        <v>0.34942225625000001</v>
      </c>
      <c r="R111" s="171">
        <v>160000000</v>
      </c>
    </row>
    <row r="112" spans="1:18" s="176" customFormat="1">
      <c r="A112" s="10"/>
      <c r="B112" s="14" t="s">
        <v>334</v>
      </c>
      <c r="C112" s="10" t="s">
        <v>335</v>
      </c>
      <c r="D112" s="25"/>
      <c r="E112" s="9" t="s">
        <v>336</v>
      </c>
      <c r="F112" s="216">
        <v>593164000</v>
      </c>
      <c r="G112" s="217" t="s">
        <v>48</v>
      </c>
      <c r="H112" s="218">
        <v>96823500</v>
      </c>
      <c r="I112" s="218">
        <v>689987500</v>
      </c>
      <c r="J112" s="218">
        <v>462637500</v>
      </c>
      <c r="K112" s="217" t="s">
        <v>112</v>
      </c>
      <c r="L112" s="218">
        <v>462637500</v>
      </c>
      <c r="M112" s="217" t="s">
        <v>113</v>
      </c>
      <c r="N112" s="218">
        <v>462637500</v>
      </c>
      <c r="O112" s="219">
        <v>0.67049999999999998</v>
      </c>
      <c r="P112" s="8">
        <f t="shared" ref="G112:P112" si="45">SUM(P113:P116)</f>
        <v>160000000</v>
      </c>
      <c r="Q112" s="183">
        <f t="shared" si="32"/>
        <v>-3.3124218750000001</v>
      </c>
      <c r="R112" s="347">
        <f>SUM(R113:R116)</f>
        <v>160000000</v>
      </c>
    </row>
    <row r="113" spans="1:18" s="177" customFormat="1">
      <c r="A113" s="79"/>
      <c r="B113" s="80"/>
      <c r="C113" s="79" t="s">
        <v>335</v>
      </c>
      <c r="D113" s="28" t="s">
        <v>332</v>
      </c>
      <c r="E113" s="29" t="s">
        <v>333</v>
      </c>
      <c r="F113" s="227">
        <v>139568000</v>
      </c>
      <c r="G113" s="225" t="s">
        <v>48</v>
      </c>
      <c r="H113" s="228">
        <v>22782000</v>
      </c>
      <c r="I113" s="228">
        <v>162350000</v>
      </c>
      <c r="J113" s="228">
        <v>142350000</v>
      </c>
      <c r="K113" s="225" t="s">
        <v>112</v>
      </c>
      <c r="L113" s="228">
        <v>142350000</v>
      </c>
      <c r="M113" s="225" t="s">
        <v>113</v>
      </c>
      <c r="N113" s="228">
        <v>142350000</v>
      </c>
      <c r="O113" s="226">
        <v>0.87680000000000002</v>
      </c>
      <c r="P113" s="30">
        <v>160000000</v>
      </c>
      <c r="Q113" s="183">
        <f t="shared" si="32"/>
        <v>-1.4687499999999999E-2</v>
      </c>
      <c r="R113" s="171">
        <v>160000000</v>
      </c>
    </row>
    <row r="114" spans="1:18" s="177" customFormat="1">
      <c r="A114" s="79"/>
      <c r="B114" s="80"/>
      <c r="C114" s="79" t="s">
        <v>335</v>
      </c>
      <c r="D114" s="28" t="s">
        <v>337</v>
      </c>
      <c r="E114" s="29" t="s">
        <v>338</v>
      </c>
      <c r="F114" s="227">
        <v>139568000</v>
      </c>
      <c r="G114" s="225" t="s">
        <v>48</v>
      </c>
      <c r="H114" s="228">
        <v>22782000</v>
      </c>
      <c r="I114" s="228">
        <v>162350000</v>
      </c>
      <c r="J114" s="228">
        <v>142350000</v>
      </c>
      <c r="K114" s="225" t="s">
        <v>112</v>
      </c>
      <c r="L114" s="228">
        <v>142350000</v>
      </c>
      <c r="M114" s="225" t="s">
        <v>113</v>
      </c>
      <c r="N114" s="228">
        <v>142350000</v>
      </c>
      <c r="O114" s="226">
        <v>0.87680000000000002</v>
      </c>
      <c r="P114" s="30"/>
      <c r="Q114" s="183" t="e">
        <f t="shared" si="32"/>
        <v>#DIV/0!</v>
      </c>
      <c r="R114" s="171"/>
    </row>
    <row r="115" spans="1:18" s="177" customFormat="1">
      <c r="A115" s="79"/>
      <c r="B115" s="80"/>
      <c r="C115" s="79" t="s">
        <v>335</v>
      </c>
      <c r="D115" s="28" t="s">
        <v>339</v>
      </c>
      <c r="E115" s="29" t="s">
        <v>340</v>
      </c>
      <c r="F115" s="227">
        <v>139568000</v>
      </c>
      <c r="G115" s="225" t="s">
        <v>48</v>
      </c>
      <c r="H115" s="228">
        <v>22782000</v>
      </c>
      <c r="I115" s="228">
        <v>162350000</v>
      </c>
      <c r="J115" s="225" t="s">
        <v>305</v>
      </c>
      <c r="K115" s="225" t="s">
        <v>112</v>
      </c>
      <c r="L115" s="225" t="s">
        <v>112</v>
      </c>
      <c r="M115" s="225" t="s">
        <v>113</v>
      </c>
      <c r="N115" s="225" t="s">
        <v>114</v>
      </c>
      <c r="O115" s="226">
        <v>0</v>
      </c>
      <c r="P115" s="30"/>
      <c r="Q115" s="183" t="e">
        <f t="shared" si="32"/>
        <v>#DIV/0!</v>
      </c>
      <c r="R115" s="171"/>
    </row>
    <row r="116" spans="1:18" s="177" customFormat="1">
      <c r="A116" s="79"/>
      <c r="B116" s="80"/>
      <c r="C116" s="79" t="s">
        <v>335</v>
      </c>
      <c r="D116" s="28" t="s">
        <v>341</v>
      </c>
      <c r="E116" s="29" t="s">
        <v>342</v>
      </c>
      <c r="F116" s="227">
        <v>174460000</v>
      </c>
      <c r="G116" s="225" t="s">
        <v>48</v>
      </c>
      <c r="H116" s="228">
        <v>28477500</v>
      </c>
      <c r="I116" s="228">
        <v>202937500</v>
      </c>
      <c r="J116" s="228">
        <v>177937500</v>
      </c>
      <c r="K116" s="225" t="s">
        <v>112</v>
      </c>
      <c r="L116" s="228">
        <v>177937500</v>
      </c>
      <c r="M116" s="225" t="s">
        <v>113</v>
      </c>
      <c r="N116" s="228">
        <v>177937500</v>
      </c>
      <c r="O116" s="226">
        <v>0.87680000000000002</v>
      </c>
      <c r="P116" s="30"/>
      <c r="Q116" s="183" t="e">
        <f t="shared" si="32"/>
        <v>#DIV/0!</v>
      </c>
      <c r="R116" s="171"/>
    </row>
    <row r="117" spans="1:18" s="176" customFormat="1">
      <c r="A117" s="10"/>
      <c r="B117" s="14" t="s">
        <v>343</v>
      </c>
      <c r="C117" s="10" t="s">
        <v>344</v>
      </c>
      <c r="D117" s="25"/>
      <c r="E117" s="9" t="s">
        <v>345</v>
      </c>
      <c r="F117" s="216">
        <v>363600000</v>
      </c>
      <c r="G117" s="217" t="s">
        <v>48</v>
      </c>
      <c r="H117" s="218">
        <v>8677283</v>
      </c>
      <c r="I117" s="218">
        <v>372277283</v>
      </c>
      <c r="J117" s="218">
        <v>247714704</v>
      </c>
      <c r="K117" s="218">
        <v>30706331</v>
      </c>
      <c r="L117" s="218">
        <v>247714704</v>
      </c>
      <c r="M117" s="218">
        <v>30706331</v>
      </c>
      <c r="N117" s="218">
        <v>247714704</v>
      </c>
      <c r="O117" s="219">
        <v>0.66539999999999999</v>
      </c>
      <c r="P117" s="8">
        <f t="shared" ref="G117:P117" si="46">+P118</f>
        <v>412553700</v>
      </c>
      <c r="Q117" s="183">
        <f t="shared" si="32"/>
        <v>9.7627089515861812E-2</v>
      </c>
      <c r="R117" s="347">
        <f>+R118</f>
        <v>412553700</v>
      </c>
    </row>
    <row r="118" spans="1:18" s="177" customFormat="1">
      <c r="A118" s="79"/>
      <c r="B118" s="80"/>
      <c r="C118" s="79" t="s">
        <v>344</v>
      </c>
      <c r="D118" s="28" t="s">
        <v>346</v>
      </c>
      <c r="E118" s="29" t="s">
        <v>347</v>
      </c>
      <c r="F118" s="227">
        <v>363600000</v>
      </c>
      <c r="G118" s="225" t="s">
        <v>48</v>
      </c>
      <c r="H118" s="228">
        <v>8677283</v>
      </c>
      <c r="I118" s="228">
        <v>372277283</v>
      </c>
      <c r="J118" s="228">
        <v>247714704</v>
      </c>
      <c r="K118" s="228">
        <v>30706331</v>
      </c>
      <c r="L118" s="228">
        <v>247714704</v>
      </c>
      <c r="M118" s="228">
        <v>30706331</v>
      </c>
      <c r="N118" s="228">
        <v>247714704</v>
      </c>
      <c r="O118" s="226">
        <v>0.66539999999999999</v>
      </c>
      <c r="P118" s="30">
        <v>412553700</v>
      </c>
      <c r="Q118" s="183">
        <f t="shared" si="32"/>
        <v>9.7627089515861812E-2</v>
      </c>
      <c r="R118" s="171">
        <v>412553700</v>
      </c>
    </row>
    <row r="119" spans="1:18" s="176" customFormat="1">
      <c r="A119" s="10"/>
      <c r="B119" s="14" t="s">
        <v>348</v>
      </c>
      <c r="C119" s="10" t="s">
        <v>349</v>
      </c>
      <c r="D119" s="25"/>
      <c r="E119" s="9" t="s">
        <v>350</v>
      </c>
      <c r="F119" s="216">
        <v>45402000</v>
      </c>
      <c r="G119" s="217" t="s">
        <v>48</v>
      </c>
      <c r="H119" s="218">
        <v>-3753446</v>
      </c>
      <c r="I119" s="218">
        <v>45402000</v>
      </c>
      <c r="J119" s="218">
        <v>41648554</v>
      </c>
      <c r="K119" s="217" t="s">
        <v>112</v>
      </c>
      <c r="L119" s="218">
        <v>41648554</v>
      </c>
      <c r="M119" s="217" t="s">
        <v>113</v>
      </c>
      <c r="N119" s="218">
        <v>11085683</v>
      </c>
      <c r="O119" s="219">
        <v>0.9173</v>
      </c>
      <c r="P119" s="8">
        <f t="shared" ref="G119:P119" si="47">+P120</f>
        <v>59309127</v>
      </c>
      <c r="Q119" s="183">
        <f t="shared" si="32"/>
        <v>0.23448544437351101</v>
      </c>
      <c r="R119" s="347">
        <f>+R120</f>
        <v>59309127</v>
      </c>
    </row>
    <row r="120" spans="1:18" s="177" customFormat="1">
      <c r="A120" s="79"/>
      <c r="B120" s="80"/>
      <c r="C120" s="79" t="s">
        <v>349</v>
      </c>
      <c r="D120" s="28" t="s">
        <v>59</v>
      </c>
      <c r="E120" s="29" t="s">
        <v>328</v>
      </c>
      <c r="F120" s="227">
        <v>45402000</v>
      </c>
      <c r="G120" s="225" t="s">
        <v>48</v>
      </c>
      <c r="H120" s="228">
        <v>-3753446</v>
      </c>
      <c r="I120" s="228">
        <v>45402000</v>
      </c>
      <c r="J120" s="228">
        <v>41648554</v>
      </c>
      <c r="K120" s="225" t="s">
        <v>112</v>
      </c>
      <c r="L120" s="228">
        <v>41648554</v>
      </c>
      <c r="M120" s="225" t="s">
        <v>113</v>
      </c>
      <c r="N120" s="228">
        <v>11085683</v>
      </c>
      <c r="O120" s="226">
        <v>0.9173</v>
      </c>
      <c r="P120" s="30">
        <v>59309127</v>
      </c>
      <c r="Q120" s="183">
        <f t="shared" si="32"/>
        <v>0.23448544437351101</v>
      </c>
      <c r="R120" s="171">
        <v>59309127</v>
      </c>
    </row>
    <row r="121" spans="1:18" s="177" customFormat="1">
      <c r="A121" s="10"/>
      <c r="B121" s="14" t="s">
        <v>351</v>
      </c>
      <c r="C121" s="10" t="s">
        <v>352</v>
      </c>
      <c r="D121" s="25"/>
      <c r="E121" s="9" t="s">
        <v>353</v>
      </c>
      <c r="F121" s="216">
        <v>6048902000</v>
      </c>
      <c r="G121" s="217" t="s">
        <v>48</v>
      </c>
      <c r="H121" s="218">
        <v>-48127206</v>
      </c>
      <c r="I121" s="218">
        <v>6000774794</v>
      </c>
      <c r="J121" s="218">
        <v>6000774794</v>
      </c>
      <c r="K121" s="217" t="s">
        <v>112</v>
      </c>
      <c r="L121" s="218">
        <v>6000774794</v>
      </c>
      <c r="M121" s="217" t="s">
        <v>113</v>
      </c>
      <c r="N121" s="218">
        <v>1575760139</v>
      </c>
      <c r="O121" s="219">
        <v>1</v>
      </c>
      <c r="P121" s="8">
        <f t="shared" ref="G121:P121" si="48">+P122</f>
        <v>6590119044</v>
      </c>
      <c r="Q121" s="183">
        <f t="shared" si="32"/>
        <v>8.9428467993544189E-2</v>
      </c>
      <c r="R121" s="347">
        <f>+R122</f>
        <v>6590119044</v>
      </c>
    </row>
    <row r="122" spans="1:18" s="177" customFormat="1">
      <c r="A122" s="79"/>
      <c r="B122" s="80"/>
      <c r="C122" s="79" t="s">
        <v>352</v>
      </c>
      <c r="D122" s="28" t="s">
        <v>354</v>
      </c>
      <c r="E122" s="29" t="s">
        <v>355</v>
      </c>
      <c r="F122" s="227">
        <v>6048902000</v>
      </c>
      <c r="G122" s="225" t="s">
        <v>48</v>
      </c>
      <c r="H122" s="228">
        <v>-48127206</v>
      </c>
      <c r="I122" s="228">
        <v>6000774794</v>
      </c>
      <c r="J122" s="228">
        <v>6000774794</v>
      </c>
      <c r="K122" s="225" t="s">
        <v>112</v>
      </c>
      <c r="L122" s="228">
        <v>6000774794</v>
      </c>
      <c r="M122" s="225" t="s">
        <v>113</v>
      </c>
      <c r="N122" s="228">
        <v>1575760139</v>
      </c>
      <c r="O122" s="226">
        <v>1</v>
      </c>
      <c r="P122" s="30">
        <v>6590119044</v>
      </c>
      <c r="Q122" s="183">
        <f t="shared" si="32"/>
        <v>8.9428467993544189E-2</v>
      </c>
      <c r="R122" s="171">
        <v>6590119044</v>
      </c>
    </row>
    <row r="123" spans="1:18" s="177" customFormat="1">
      <c r="A123" s="10"/>
      <c r="B123" s="14" t="s">
        <v>356</v>
      </c>
      <c r="C123" s="10" t="s">
        <v>357</v>
      </c>
      <c r="D123" s="25"/>
      <c r="E123" s="9" t="s">
        <v>358</v>
      </c>
      <c r="F123" s="216">
        <v>221300000</v>
      </c>
      <c r="G123" s="217" t="s">
        <v>48</v>
      </c>
      <c r="H123" s="218">
        <v>-14811101</v>
      </c>
      <c r="I123" s="218">
        <v>206488899</v>
      </c>
      <c r="J123" s="218">
        <v>115141284</v>
      </c>
      <c r="K123" s="218">
        <v>8528984</v>
      </c>
      <c r="L123" s="218">
        <v>115141284</v>
      </c>
      <c r="M123" s="218">
        <v>8528984</v>
      </c>
      <c r="N123" s="218">
        <v>115141284</v>
      </c>
      <c r="O123" s="219">
        <v>0.55759999999999998</v>
      </c>
      <c r="P123" s="8">
        <f t="shared" ref="G123:P123" si="49">+P124</f>
        <v>231881752</v>
      </c>
      <c r="Q123" s="183">
        <f t="shared" si="32"/>
        <v>0.10950776756249453</v>
      </c>
      <c r="R123" s="347">
        <f>+R124</f>
        <v>231881752</v>
      </c>
    </row>
    <row r="124" spans="1:18" s="177" customFormat="1">
      <c r="A124" s="79"/>
      <c r="B124" s="80"/>
      <c r="C124" s="79" t="s">
        <v>357</v>
      </c>
      <c r="D124" s="28" t="s">
        <v>354</v>
      </c>
      <c r="E124" s="29" t="s">
        <v>355</v>
      </c>
      <c r="F124" s="227">
        <v>221300000</v>
      </c>
      <c r="G124" s="225" t="s">
        <v>48</v>
      </c>
      <c r="H124" s="228">
        <v>-14811101</v>
      </c>
      <c r="I124" s="228">
        <v>206488899</v>
      </c>
      <c r="J124" s="228">
        <v>115141284</v>
      </c>
      <c r="K124" s="228">
        <v>8528984</v>
      </c>
      <c r="L124" s="228">
        <v>115141284</v>
      </c>
      <c r="M124" s="228">
        <v>8528984</v>
      </c>
      <c r="N124" s="228">
        <v>115141284</v>
      </c>
      <c r="O124" s="226">
        <v>0.55759999999999998</v>
      </c>
      <c r="P124" s="30">
        <v>231881752</v>
      </c>
      <c r="Q124" s="183">
        <f t="shared" si="32"/>
        <v>0.10950776756249453</v>
      </c>
      <c r="R124" s="171">
        <v>231881752</v>
      </c>
    </row>
    <row r="125" spans="1:18" s="177" customFormat="1">
      <c r="A125" s="10"/>
      <c r="B125" s="14" t="s">
        <v>359</v>
      </c>
      <c r="C125" s="10" t="s">
        <v>360</v>
      </c>
      <c r="D125" s="25"/>
      <c r="E125" s="9" t="s">
        <v>361</v>
      </c>
      <c r="F125" s="216">
        <v>269300000</v>
      </c>
      <c r="G125" s="217" t="s">
        <v>48</v>
      </c>
      <c r="H125" s="218">
        <v>32763754</v>
      </c>
      <c r="I125" s="218">
        <v>302063754</v>
      </c>
      <c r="J125" s="218">
        <v>192016243</v>
      </c>
      <c r="K125" s="218">
        <v>17967926</v>
      </c>
      <c r="L125" s="218">
        <v>192016243</v>
      </c>
      <c r="M125" s="218">
        <v>17967926</v>
      </c>
      <c r="N125" s="218">
        <v>192016243</v>
      </c>
      <c r="O125" s="219">
        <v>0.63570000000000004</v>
      </c>
      <c r="P125" s="8">
        <f t="shared" ref="G125:P125" si="50">+P126</f>
        <v>301548069.89999998</v>
      </c>
      <c r="Q125" s="183">
        <f t="shared" si="32"/>
        <v>-1.7101223701117905E-3</v>
      </c>
      <c r="R125" s="347">
        <f>+R126</f>
        <v>301548069.89999998</v>
      </c>
    </row>
    <row r="126" spans="1:18" s="177" customFormat="1">
      <c r="A126" s="79"/>
      <c r="B126" s="80"/>
      <c r="C126" s="79" t="s">
        <v>360</v>
      </c>
      <c r="D126" s="28" t="s">
        <v>354</v>
      </c>
      <c r="E126" s="29" t="s">
        <v>355</v>
      </c>
      <c r="F126" s="227">
        <v>269300000</v>
      </c>
      <c r="G126" s="225" t="s">
        <v>48</v>
      </c>
      <c r="H126" s="228">
        <v>32763754</v>
      </c>
      <c r="I126" s="228">
        <v>302063754</v>
      </c>
      <c r="J126" s="228">
        <v>192016243</v>
      </c>
      <c r="K126" s="228">
        <v>17967926</v>
      </c>
      <c r="L126" s="228">
        <v>192016243</v>
      </c>
      <c r="M126" s="228">
        <v>17967926</v>
      </c>
      <c r="N126" s="228">
        <v>192016243</v>
      </c>
      <c r="O126" s="226">
        <v>0.63570000000000004</v>
      </c>
      <c r="P126" s="30">
        <v>301548069.89999998</v>
      </c>
      <c r="Q126" s="183">
        <f t="shared" si="32"/>
        <v>-1.7101223701117905E-3</v>
      </c>
      <c r="R126" s="171">
        <v>301548069.89999998</v>
      </c>
    </row>
    <row r="127" spans="1:18" s="177" customFormat="1">
      <c r="A127" s="10"/>
      <c r="B127" s="14" t="s">
        <v>362</v>
      </c>
      <c r="C127" s="10" t="s">
        <v>363</v>
      </c>
      <c r="D127" s="25"/>
      <c r="E127" s="9" t="s">
        <v>364</v>
      </c>
      <c r="F127" s="216">
        <v>145800000</v>
      </c>
      <c r="G127" s="217" t="s">
        <v>48</v>
      </c>
      <c r="H127" s="218">
        <v>-12401679</v>
      </c>
      <c r="I127" s="218">
        <v>133398321</v>
      </c>
      <c r="J127" s="218">
        <v>90031108</v>
      </c>
      <c r="K127" s="218">
        <v>4264492</v>
      </c>
      <c r="L127" s="218">
        <v>90031108</v>
      </c>
      <c r="M127" s="218">
        <v>4264492</v>
      </c>
      <c r="N127" s="218">
        <v>90031108</v>
      </c>
      <c r="O127" s="219">
        <v>0.67490000000000006</v>
      </c>
      <c r="P127" s="8">
        <f t="shared" ref="G127:P127" si="51">+P128</f>
        <v>158484038</v>
      </c>
      <c r="Q127" s="183">
        <f t="shared" si="32"/>
        <v>0.15828544827965577</v>
      </c>
      <c r="R127" s="347">
        <f>+R128</f>
        <v>158484038</v>
      </c>
    </row>
    <row r="128" spans="1:18" s="177" customFormat="1">
      <c r="A128" s="79"/>
      <c r="B128" s="80"/>
      <c r="C128" s="79" t="s">
        <v>363</v>
      </c>
      <c r="D128" s="28" t="s">
        <v>59</v>
      </c>
      <c r="E128" s="29" t="s">
        <v>328</v>
      </c>
      <c r="F128" s="227">
        <v>145800000</v>
      </c>
      <c r="G128" s="225" t="s">
        <v>48</v>
      </c>
      <c r="H128" s="228">
        <v>-12401679</v>
      </c>
      <c r="I128" s="228">
        <v>133398321</v>
      </c>
      <c r="J128" s="228">
        <v>90031108</v>
      </c>
      <c r="K128" s="228">
        <v>4264492</v>
      </c>
      <c r="L128" s="228">
        <v>90031108</v>
      </c>
      <c r="M128" s="228">
        <v>4264492</v>
      </c>
      <c r="N128" s="228">
        <v>90031108</v>
      </c>
      <c r="O128" s="226">
        <v>0.67490000000000006</v>
      </c>
      <c r="P128" s="30">
        <v>158484038</v>
      </c>
      <c r="Q128" s="183">
        <f t="shared" si="32"/>
        <v>0.15828544827965577</v>
      </c>
      <c r="R128" s="171">
        <v>158484038</v>
      </c>
    </row>
    <row r="129" spans="1:18" s="177" customFormat="1">
      <c r="A129" s="10"/>
      <c r="B129" s="14" t="s">
        <v>365</v>
      </c>
      <c r="C129" s="10" t="s">
        <v>366</v>
      </c>
      <c r="D129" s="25"/>
      <c r="E129" s="9" t="s">
        <v>367</v>
      </c>
      <c r="F129" s="216">
        <v>163987000</v>
      </c>
      <c r="G129" s="217" t="s">
        <v>48</v>
      </c>
      <c r="H129" s="218">
        <v>-44572584</v>
      </c>
      <c r="I129" s="218">
        <v>119414416</v>
      </c>
      <c r="J129" s="218">
        <v>50664380</v>
      </c>
      <c r="K129" s="217" t="s">
        <v>112</v>
      </c>
      <c r="L129" s="218">
        <v>50664380</v>
      </c>
      <c r="M129" s="217" t="s">
        <v>113</v>
      </c>
      <c r="N129" s="218">
        <v>50664380</v>
      </c>
      <c r="O129" s="219">
        <v>0.42430000000000001</v>
      </c>
      <c r="P129" s="8">
        <f t="shared" ref="G129:P129" si="52">+P130</f>
        <v>174514965</v>
      </c>
      <c r="Q129" s="183">
        <f t="shared" si="32"/>
        <v>0.31573538120355465</v>
      </c>
      <c r="R129" s="347">
        <f>+R130</f>
        <v>174514965</v>
      </c>
    </row>
    <row r="130" spans="1:18" s="177" customFormat="1">
      <c r="A130" s="79"/>
      <c r="B130" s="80"/>
      <c r="C130" s="79" t="s">
        <v>366</v>
      </c>
      <c r="D130" s="28" t="s">
        <v>346</v>
      </c>
      <c r="E130" s="29" t="s">
        <v>347</v>
      </c>
      <c r="F130" s="227">
        <v>163987000</v>
      </c>
      <c r="G130" s="225" t="s">
        <v>48</v>
      </c>
      <c r="H130" s="228">
        <v>-44572584</v>
      </c>
      <c r="I130" s="228">
        <v>119414416</v>
      </c>
      <c r="J130" s="228">
        <v>50664380</v>
      </c>
      <c r="K130" s="225" t="s">
        <v>112</v>
      </c>
      <c r="L130" s="228">
        <v>50664380</v>
      </c>
      <c r="M130" s="225" t="s">
        <v>113</v>
      </c>
      <c r="N130" s="228">
        <v>50664380</v>
      </c>
      <c r="O130" s="226">
        <v>0.42430000000000001</v>
      </c>
      <c r="P130" s="30">
        <v>174514965</v>
      </c>
      <c r="Q130" s="183">
        <f t="shared" si="32"/>
        <v>0.31573538120355465</v>
      </c>
      <c r="R130" s="171">
        <v>174514965</v>
      </c>
    </row>
    <row r="131" spans="1:18" s="177" customFormat="1">
      <c r="A131" s="10"/>
      <c r="B131" s="14" t="s">
        <v>368</v>
      </c>
      <c r="C131" s="10" t="s">
        <v>369</v>
      </c>
      <c r="D131" s="25"/>
      <c r="E131" s="9" t="s">
        <v>370</v>
      </c>
      <c r="F131" s="216">
        <v>218325000</v>
      </c>
      <c r="G131" s="217" t="s">
        <v>48</v>
      </c>
      <c r="H131" s="217" t="s">
        <v>48</v>
      </c>
      <c r="I131" s="218">
        <v>218325000</v>
      </c>
      <c r="J131" s="218">
        <v>114394525</v>
      </c>
      <c r="K131" s="217" t="s">
        <v>112</v>
      </c>
      <c r="L131" s="218">
        <v>114394525</v>
      </c>
      <c r="M131" s="217" t="s">
        <v>113</v>
      </c>
      <c r="N131" s="218">
        <v>114394525</v>
      </c>
      <c r="O131" s="219">
        <v>0.52400000000000002</v>
      </c>
      <c r="P131" s="8">
        <f t="shared" ref="G131:P131" si="53">+P132</f>
        <v>228149624</v>
      </c>
      <c r="Q131" s="183">
        <f t="shared" si="32"/>
        <v>4.3062196762594707E-2</v>
      </c>
      <c r="R131" s="347">
        <f>+R132</f>
        <v>228149624</v>
      </c>
    </row>
    <row r="132" spans="1:18" s="177" customFormat="1">
      <c r="A132" s="79"/>
      <c r="B132" s="80"/>
      <c r="C132" s="79" t="s">
        <v>369</v>
      </c>
      <c r="D132" s="28" t="s">
        <v>371</v>
      </c>
      <c r="E132" s="29" t="s">
        <v>372</v>
      </c>
      <c r="F132" s="227">
        <v>218325000</v>
      </c>
      <c r="G132" s="225" t="s">
        <v>48</v>
      </c>
      <c r="H132" s="225" t="s">
        <v>48</v>
      </c>
      <c r="I132" s="228">
        <v>218325000</v>
      </c>
      <c r="J132" s="228">
        <v>114394525</v>
      </c>
      <c r="K132" s="225" t="s">
        <v>112</v>
      </c>
      <c r="L132" s="228">
        <v>114394525</v>
      </c>
      <c r="M132" s="225" t="s">
        <v>113</v>
      </c>
      <c r="N132" s="228">
        <v>114394525</v>
      </c>
      <c r="O132" s="226">
        <v>0.52400000000000002</v>
      </c>
      <c r="P132" s="30">
        <f>119542278+108607346</f>
        <v>228149624</v>
      </c>
      <c r="Q132" s="183">
        <f t="shared" si="32"/>
        <v>4.3062196762594707E-2</v>
      </c>
      <c r="R132" s="171">
        <f>119542278+108607346</f>
        <v>228149624</v>
      </c>
    </row>
    <row r="133" spans="1:18" s="177" customFormat="1">
      <c r="A133" s="10"/>
      <c r="B133" s="14" t="s">
        <v>373</v>
      </c>
      <c r="C133" s="10" t="s">
        <v>374</v>
      </c>
      <c r="D133" s="25"/>
      <c r="E133" s="9" t="s">
        <v>375</v>
      </c>
      <c r="F133" s="216">
        <v>286617000</v>
      </c>
      <c r="G133" s="217" t="s">
        <v>48</v>
      </c>
      <c r="H133" s="218">
        <v>14808500</v>
      </c>
      <c r="I133" s="218">
        <v>301425500</v>
      </c>
      <c r="J133" s="218">
        <v>112583140</v>
      </c>
      <c r="K133" s="218">
        <v>5364501</v>
      </c>
      <c r="L133" s="218">
        <v>109333140</v>
      </c>
      <c r="M133" s="218">
        <v>5364501</v>
      </c>
      <c r="N133" s="218">
        <v>109333140</v>
      </c>
      <c r="O133" s="219">
        <v>0.36270000000000002</v>
      </c>
      <c r="P133" s="8">
        <f t="shared" ref="G133:P133" si="54">SUM(P134:P135)</f>
        <v>0</v>
      </c>
      <c r="Q133" s="183" t="e">
        <f t="shared" si="32"/>
        <v>#DIV/0!</v>
      </c>
      <c r="R133" s="347">
        <f>SUM(R134:R135)</f>
        <v>0</v>
      </c>
    </row>
    <row r="134" spans="1:18" s="177" customFormat="1">
      <c r="A134" s="79"/>
      <c r="B134" s="80"/>
      <c r="C134" s="79" t="s">
        <v>374</v>
      </c>
      <c r="D134" s="28" t="s">
        <v>371</v>
      </c>
      <c r="E134" s="29" t="s">
        <v>372</v>
      </c>
      <c r="F134" s="227">
        <v>195898000</v>
      </c>
      <c r="G134" s="225" t="s">
        <v>48</v>
      </c>
      <c r="H134" s="225" t="s">
        <v>48</v>
      </c>
      <c r="I134" s="228">
        <v>195898000</v>
      </c>
      <c r="J134" s="228">
        <v>20055640</v>
      </c>
      <c r="K134" s="228">
        <v>5364501</v>
      </c>
      <c r="L134" s="228">
        <v>16805640</v>
      </c>
      <c r="M134" s="228">
        <v>5364501</v>
      </c>
      <c r="N134" s="228">
        <v>16805640</v>
      </c>
      <c r="O134" s="226">
        <v>8.5800000000000001E-2</v>
      </c>
      <c r="P134" s="30"/>
      <c r="Q134" s="183" t="e">
        <f t="shared" si="32"/>
        <v>#DIV/0!</v>
      </c>
      <c r="R134" s="171"/>
    </row>
    <row r="135" spans="1:18" s="177" customFormat="1">
      <c r="A135" s="79"/>
      <c r="B135" s="80"/>
      <c r="C135" s="79" t="s">
        <v>374</v>
      </c>
      <c r="D135" s="28" t="s">
        <v>341</v>
      </c>
      <c r="E135" s="29" t="s">
        <v>342</v>
      </c>
      <c r="F135" s="227">
        <v>90719000</v>
      </c>
      <c r="G135" s="225" t="s">
        <v>48</v>
      </c>
      <c r="H135" s="228">
        <v>14808500</v>
      </c>
      <c r="I135" s="228">
        <v>105527500</v>
      </c>
      <c r="J135" s="228">
        <v>92527500</v>
      </c>
      <c r="K135" s="225" t="s">
        <v>112</v>
      </c>
      <c r="L135" s="228">
        <v>92527500</v>
      </c>
      <c r="M135" s="225" t="s">
        <v>113</v>
      </c>
      <c r="N135" s="228">
        <v>92527500</v>
      </c>
      <c r="O135" s="226">
        <v>0.87680000000000002</v>
      </c>
      <c r="P135" s="30"/>
      <c r="Q135" s="183" t="e">
        <f t="shared" si="32"/>
        <v>#DIV/0!</v>
      </c>
      <c r="R135" s="171"/>
    </row>
    <row r="136" spans="1:18">
      <c r="A136" s="63" t="s">
        <v>376</v>
      </c>
      <c r="B136" s="63" t="s">
        <v>377</v>
      </c>
      <c r="C136" s="63" t="s">
        <v>378</v>
      </c>
      <c r="D136" s="63"/>
      <c r="E136" s="63" t="s">
        <v>379</v>
      </c>
      <c r="F136" s="64">
        <f t="shared" ref="F136:P136" si="55">+F137+F209</f>
        <v>73523584000</v>
      </c>
      <c r="G136" s="196">
        <v>4857208590</v>
      </c>
      <c r="H136" s="64">
        <f t="shared" si="55"/>
        <v>19232031002</v>
      </c>
      <c r="I136" s="64">
        <f t="shared" si="55"/>
        <v>92755615002</v>
      </c>
      <c r="J136" s="64">
        <f t="shared" si="55"/>
        <v>89608307358</v>
      </c>
      <c r="K136" s="64">
        <f t="shared" si="55"/>
        <v>3959732459</v>
      </c>
      <c r="L136" s="64">
        <f t="shared" si="55"/>
        <v>76282030522</v>
      </c>
      <c r="M136" s="196">
        <v>10132554932</v>
      </c>
      <c r="N136" s="64">
        <f t="shared" si="55"/>
        <v>53462419041</v>
      </c>
      <c r="O136" s="197">
        <v>0.82240000000000002</v>
      </c>
      <c r="P136" s="64">
        <f t="shared" si="55"/>
        <v>99066688423.940002</v>
      </c>
      <c r="Q136" s="183">
        <f t="shared" si="32"/>
        <v>6.3705303188623566E-2</v>
      </c>
      <c r="R136" s="342">
        <f>+R137+R209</f>
        <v>83731087980</v>
      </c>
    </row>
    <row r="137" spans="1:18">
      <c r="A137" s="65" t="s">
        <v>380</v>
      </c>
      <c r="B137" s="65" t="s">
        <v>381</v>
      </c>
      <c r="C137" s="65" t="s">
        <v>382</v>
      </c>
      <c r="D137" s="65"/>
      <c r="E137" s="65" t="s">
        <v>39</v>
      </c>
      <c r="F137" s="198">
        <v>55100823000</v>
      </c>
      <c r="G137" s="200">
        <v>4179974984</v>
      </c>
      <c r="H137" s="200">
        <v>16328896209</v>
      </c>
      <c r="I137" s="200">
        <v>71429719209</v>
      </c>
      <c r="J137" s="200">
        <v>69958229512</v>
      </c>
      <c r="K137" s="200">
        <v>2527113674</v>
      </c>
      <c r="L137" s="200">
        <v>63511550375</v>
      </c>
      <c r="M137" s="200">
        <v>8890306752</v>
      </c>
      <c r="N137" s="200">
        <v>43436388478</v>
      </c>
      <c r="O137" s="201">
        <v>0.8891</v>
      </c>
      <c r="P137" s="66">
        <f t="shared" ref="H137:P137" si="56">+P138</f>
        <v>77821992684.539993</v>
      </c>
      <c r="Q137" s="183">
        <f t="shared" si="32"/>
        <v>8.213967870819984E-2</v>
      </c>
      <c r="R137" s="343">
        <f>+R138</f>
        <v>66012464821</v>
      </c>
    </row>
    <row r="138" spans="1:18">
      <c r="A138" s="67" t="s">
        <v>383</v>
      </c>
      <c r="B138" s="68" t="s">
        <v>384</v>
      </c>
      <c r="C138" s="69" t="s">
        <v>385</v>
      </c>
      <c r="D138" s="70"/>
      <c r="E138" s="27" t="s">
        <v>42</v>
      </c>
      <c r="F138" s="202">
        <v>55100823000</v>
      </c>
      <c r="G138" s="204">
        <v>4179974984</v>
      </c>
      <c r="H138" s="204">
        <v>16328896209</v>
      </c>
      <c r="I138" s="204">
        <v>71429719209</v>
      </c>
      <c r="J138" s="204">
        <v>69958229512</v>
      </c>
      <c r="K138" s="204">
        <v>2527113674</v>
      </c>
      <c r="L138" s="204">
        <v>63511550375</v>
      </c>
      <c r="M138" s="204">
        <v>8890306752</v>
      </c>
      <c r="N138" s="204">
        <v>43436388478</v>
      </c>
      <c r="O138" s="205">
        <v>0.8891</v>
      </c>
      <c r="P138" s="71">
        <f t="shared" ref="H138:P138" si="57">+P139+P157+P174</f>
        <v>77821992684.539993</v>
      </c>
      <c r="Q138" s="183">
        <f t="shared" si="32"/>
        <v>8.213967870819984E-2</v>
      </c>
      <c r="R138" s="344">
        <f>+R139+R157+R174</f>
        <v>66012464821</v>
      </c>
    </row>
    <row r="139" spans="1:18" s="166" customFormat="1">
      <c r="A139" s="72" t="s">
        <v>386</v>
      </c>
      <c r="B139" s="73" t="s">
        <v>387</v>
      </c>
      <c r="C139" s="74" t="s">
        <v>388</v>
      </c>
      <c r="D139" s="75"/>
      <c r="E139" s="20" t="s">
        <v>46</v>
      </c>
      <c r="F139" s="206">
        <v>48229264000</v>
      </c>
      <c r="G139" s="208">
        <v>3450492432</v>
      </c>
      <c r="H139" s="208">
        <v>14588195194</v>
      </c>
      <c r="I139" s="208">
        <v>62817459194</v>
      </c>
      <c r="J139" s="208">
        <v>61478917476</v>
      </c>
      <c r="K139" s="208">
        <v>2057120204</v>
      </c>
      <c r="L139" s="208">
        <v>55821000225</v>
      </c>
      <c r="M139" s="208">
        <v>8790987796</v>
      </c>
      <c r="N139" s="208">
        <v>40849322540</v>
      </c>
      <c r="O139" s="209">
        <v>0.88859999999999995</v>
      </c>
      <c r="P139" s="76">
        <f t="shared" ref="G139:P139" si="58">+P140+P150</f>
        <v>67622993289.440002</v>
      </c>
      <c r="Q139" s="183">
        <f t="shared" si="32"/>
        <v>7.1063611083752989E-2</v>
      </c>
      <c r="R139" s="345">
        <f>+R140+R150</f>
        <v>57785809611</v>
      </c>
    </row>
    <row r="140" spans="1:18" s="166" customFormat="1">
      <c r="A140" s="11"/>
      <c r="B140" s="16"/>
      <c r="C140" s="12" t="s">
        <v>389</v>
      </c>
      <c r="D140" s="24"/>
      <c r="E140" s="11" t="s">
        <v>390</v>
      </c>
      <c r="F140" s="211">
        <v>38451603000</v>
      </c>
      <c r="G140" s="213">
        <v>3337101057</v>
      </c>
      <c r="H140" s="213">
        <v>14592327362</v>
      </c>
      <c r="I140" s="213">
        <v>53043930362</v>
      </c>
      <c r="J140" s="213">
        <v>52118975741</v>
      </c>
      <c r="K140" s="213">
        <v>2102584387</v>
      </c>
      <c r="L140" s="213">
        <v>47354538269</v>
      </c>
      <c r="M140" s="213">
        <v>7000271798</v>
      </c>
      <c r="N140" s="213">
        <v>34755737951</v>
      </c>
      <c r="O140" s="214">
        <v>0.89270000000000005</v>
      </c>
      <c r="P140" s="13">
        <f t="shared" ref="G140:P140" si="59">SUM(P141:P149)</f>
        <v>58459817764.440002</v>
      </c>
      <c r="Q140" s="183">
        <f t="shared" si="32"/>
        <v>9.2642906008755715E-2</v>
      </c>
      <c r="R140" s="349">
        <f>SUM(R141:R149)</f>
        <v>48622634086</v>
      </c>
    </row>
    <row r="141" spans="1:18" s="167" customFormat="1">
      <c r="A141" s="10"/>
      <c r="B141" s="14" t="s">
        <v>391</v>
      </c>
      <c r="C141" s="10" t="s">
        <v>392</v>
      </c>
      <c r="D141" s="25" t="s">
        <v>393</v>
      </c>
      <c r="E141" s="9" t="s">
        <v>394</v>
      </c>
      <c r="F141" s="216">
        <v>4298799000</v>
      </c>
      <c r="G141" s="218">
        <v>142915023</v>
      </c>
      <c r="H141" s="218">
        <v>4976368857</v>
      </c>
      <c r="I141" s="218">
        <v>9275167857</v>
      </c>
      <c r="J141" s="218">
        <v>8782252834</v>
      </c>
      <c r="K141" s="218">
        <v>61541913</v>
      </c>
      <c r="L141" s="218">
        <v>8308687416</v>
      </c>
      <c r="M141" s="218">
        <v>1172452193</v>
      </c>
      <c r="N141" s="218">
        <v>5879874588</v>
      </c>
      <c r="O141" s="219">
        <v>0.89580000000000004</v>
      </c>
      <c r="P141" s="8">
        <v>10001966357</v>
      </c>
      <c r="Q141" s="183">
        <f t="shared" si="32"/>
        <v>7.2665561356476782E-2</v>
      </c>
      <c r="R141" s="347">
        <v>10001966357</v>
      </c>
    </row>
    <row r="142" spans="1:18" s="167" customFormat="1">
      <c r="A142" s="10"/>
      <c r="B142" s="14" t="s">
        <v>395</v>
      </c>
      <c r="C142" s="10" t="s">
        <v>396</v>
      </c>
      <c r="D142" s="25" t="s">
        <v>397</v>
      </c>
      <c r="E142" s="9" t="s">
        <v>398</v>
      </c>
      <c r="F142" s="216">
        <v>7397857000</v>
      </c>
      <c r="G142" s="218">
        <v>1223787638</v>
      </c>
      <c r="H142" s="218">
        <v>4766050267</v>
      </c>
      <c r="I142" s="218">
        <v>12163907267</v>
      </c>
      <c r="J142" s="218">
        <v>12163907267</v>
      </c>
      <c r="K142" s="218">
        <v>50773852</v>
      </c>
      <c r="L142" s="218">
        <v>9788910548</v>
      </c>
      <c r="M142" s="218">
        <v>1604755005</v>
      </c>
      <c r="N142" s="218">
        <v>8045930147</v>
      </c>
      <c r="O142" s="219">
        <v>0.80479999999999996</v>
      </c>
      <c r="P142" s="8">
        <v>14385310907</v>
      </c>
      <c r="Q142" s="183">
        <f t="shared" ref="Q142:Q205" si="60">+(P142-I142)/P142</f>
        <v>0.15442166348445402</v>
      </c>
      <c r="R142" s="347">
        <v>14385310907</v>
      </c>
    </row>
    <row r="143" spans="1:18" s="167" customFormat="1">
      <c r="A143" s="10"/>
      <c r="B143" s="14" t="s">
        <v>399</v>
      </c>
      <c r="C143" s="10" t="s">
        <v>400</v>
      </c>
      <c r="D143" s="25" t="s">
        <v>401</v>
      </c>
      <c r="E143" s="9" t="s">
        <v>402</v>
      </c>
      <c r="F143" s="216">
        <v>5489553000</v>
      </c>
      <c r="G143" s="218">
        <v>658074427</v>
      </c>
      <c r="H143" s="218">
        <v>1322972771</v>
      </c>
      <c r="I143" s="218">
        <v>6812525771</v>
      </c>
      <c r="J143" s="218">
        <v>6812525771</v>
      </c>
      <c r="K143" s="218">
        <v>1029564548</v>
      </c>
      <c r="L143" s="218">
        <v>6459861083</v>
      </c>
      <c r="M143" s="218">
        <v>946470773</v>
      </c>
      <c r="N143" s="218">
        <v>4681038601</v>
      </c>
      <c r="O143" s="219">
        <v>0.94820000000000004</v>
      </c>
      <c r="P143" s="8">
        <v>7391352025</v>
      </c>
      <c r="Q143" s="183">
        <f t="shared" si="60"/>
        <v>7.8311282163563298E-2</v>
      </c>
      <c r="R143" s="347">
        <v>7391352025</v>
      </c>
    </row>
    <row r="144" spans="1:18" s="167" customFormat="1">
      <c r="A144" s="10"/>
      <c r="B144" s="14" t="s">
        <v>403</v>
      </c>
      <c r="C144" s="10" t="s">
        <v>404</v>
      </c>
      <c r="D144" s="25" t="s">
        <v>405</v>
      </c>
      <c r="E144" s="9" t="s">
        <v>406</v>
      </c>
      <c r="F144" s="216">
        <v>7676586000</v>
      </c>
      <c r="G144" s="218">
        <v>262817356</v>
      </c>
      <c r="H144" s="218">
        <v>2146720571</v>
      </c>
      <c r="I144" s="218">
        <v>9823306571</v>
      </c>
      <c r="J144" s="218">
        <v>9560489215</v>
      </c>
      <c r="K144" s="218">
        <v>-8393703</v>
      </c>
      <c r="L144" s="218">
        <v>9240119146</v>
      </c>
      <c r="M144" s="218">
        <v>1308867940</v>
      </c>
      <c r="N144" s="218">
        <v>6582387541</v>
      </c>
      <c r="O144" s="219">
        <v>0.94059999999999999</v>
      </c>
      <c r="P144" s="8">
        <v>9837183678.4400005</v>
      </c>
      <c r="Q144" s="183">
        <f t="shared" si="60"/>
        <v>1.4106788989225413E-3</v>
      </c>
      <c r="R144" s="347"/>
    </row>
    <row r="145" spans="1:18" s="167" customFormat="1">
      <c r="A145" s="10"/>
      <c r="B145" s="14" t="s">
        <v>407</v>
      </c>
      <c r="C145" s="10" t="s">
        <v>408</v>
      </c>
      <c r="D145" s="25" t="s">
        <v>409</v>
      </c>
      <c r="E145" s="9" t="s">
        <v>410</v>
      </c>
      <c r="F145" s="216">
        <v>8825700000</v>
      </c>
      <c r="G145" s="218">
        <v>646280856</v>
      </c>
      <c r="H145" s="218">
        <v>660391576</v>
      </c>
      <c r="I145" s="218">
        <v>9486091576</v>
      </c>
      <c r="J145" s="218">
        <v>9362296311</v>
      </c>
      <c r="K145" s="218">
        <v>895343789</v>
      </c>
      <c r="L145" s="218">
        <v>9022660328</v>
      </c>
      <c r="M145" s="218">
        <v>1235771231</v>
      </c>
      <c r="N145" s="218">
        <v>5938788402</v>
      </c>
      <c r="O145" s="219">
        <v>0.95109999999999995</v>
      </c>
      <c r="P145" s="8">
        <v>10555564681</v>
      </c>
      <c r="Q145" s="183">
        <f t="shared" si="60"/>
        <v>0.10131841709283919</v>
      </c>
      <c r="R145" s="347">
        <v>10555564681</v>
      </c>
    </row>
    <row r="146" spans="1:18" s="167" customFormat="1">
      <c r="A146" s="10"/>
      <c r="B146" s="14" t="s">
        <v>411</v>
      </c>
      <c r="C146" s="10" t="s">
        <v>412</v>
      </c>
      <c r="D146" s="25" t="s">
        <v>413</v>
      </c>
      <c r="E146" s="9" t="s">
        <v>414</v>
      </c>
      <c r="F146" s="216">
        <v>1858301000</v>
      </c>
      <c r="G146" s="218">
        <v>45426977</v>
      </c>
      <c r="H146" s="218">
        <v>45426977</v>
      </c>
      <c r="I146" s="218">
        <v>1903727977</v>
      </c>
      <c r="J146" s="218">
        <v>1858301000</v>
      </c>
      <c r="K146" s="218">
        <v>2208964</v>
      </c>
      <c r="L146" s="218">
        <v>1445502928</v>
      </c>
      <c r="M146" s="218">
        <v>227720566</v>
      </c>
      <c r="N146" s="218">
        <v>1295315307</v>
      </c>
      <c r="O146" s="219">
        <v>0.75929999999999997</v>
      </c>
      <c r="P146" s="8">
        <f>590587104+1477982080+54334217</f>
        <v>2122903401</v>
      </c>
      <c r="Q146" s="183">
        <f t="shared" si="60"/>
        <v>0.10324323937526161</v>
      </c>
      <c r="R146" s="347">
        <f>590587104+1477982080+54334217</f>
        <v>2122903401</v>
      </c>
    </row>
    <row r="147" spans="1:18" s="167" customFormat="1">
      <c r="A147" s="10"/>
      <c r="B147" s="14"/>
      <c r="C147" s="10" t="s">
        <v>415</v>
      </c>
      <c r="D147" s="25"/>
      <c r="E147" s="9" t="s">
        <v>416</v>
      </c>
      <c r="F147" s="215" t="s">
        <v>304</v>
      </c>
      <c r="G147" s="217" t="s">
        <v>48</v>
      </c>
      <c r="H147" s="217" t="s">
        <v>48</v>
      </c>
      <c r="I147" s="217" t="s">
        <v>304</v>
      </c>
      <c r="J147" s="217" t="s">
        <v>305</v>
      </c>
      <c r="K147" s="217" t="s">
        <v>112</v>
      </c>
      <c r="L147" s="217" t="s">
        <v>112</v>
      </c>
      <c r="M147" s="217" t="s">
        <v>113</v>
      </c>
      <c r="N147" s="217" t="s">
        <v>114</v>
      </c>
      <c r="O147" s="219">
        <v>0</v>
      </c>
      <c r="P147" s="8"/>
      <c r="Q147" s="183" t="e">
        <f t="shared" si="60"/>
        <v>#VALUE!</v>
      </c>
      <c r="R147" s="347"/>
    </row>
    <row r="148" spans="1:18" s="167" customFormat="1">
      <c r="A148" s="10"/>
      <c r="B148" s="14" t="s">
        <v>417</v>
      </c>
      <c r="C148" s="10" t="s">
        <v>418</v>
      </c>
      <c r="D148" s="25" t="s">
        <v>419</v>
      </c>
      <c r="E148" s="9" t="s">
        <v>420</v>
      </c>
      <c r="F148" s="216">
        <v>2859444000</v>
      </c>
      <c r="G148" s="218">
        <v>357798780</v>
      </c>
      <c r="H148" s="218">
        <v>674396343</v>
      </c>
      <c r="I148" s="218">
        <v>3533840343</v>
      </c>
      <c r="J148" s="218">
        <v>3533840343</v>
      </c>
      <c r="K148" s="218">
        <v>71545024</v>
      </c>
      <c r="L148" s="218">
        <v>3053642327</v>
      </c>
      <c r="M148" s="218">
        <v>492451424</v>
      </c>
      <c r="N148" s="218">
        <v>2320620699</v>
      </c>
      <c r="O148" s="219">
        <v>0.86409999999999998</v>
      </c>
      <c r="P148" s="8">
        <v>4165536715</v>
      </c>
      <c r="Q148" s="183">
        <f t="shared" si="60"/>
        <v>0.1516482545275081</v>
      </c>
      <c r="R148" s="347">
        <v>4165536715</v>
      </c>
    </row>
    <row r="149" spans="1:18" s="167" customFormat="1">
      <c r="A149" s="10"/>
      <c r="B149" s="14" t="s">
        <v>421</v>
      </c>
      <c r="C149" s="10" t="s">
        <v>422</v>
      </c>
      <c r="D149" s="25" t="s">
        <v>423</v>
      </c>
      <c r="E149" s="9" t="s">
        <v>424</v>
      </c>
      <c r="F149" s="216">
        <v>45363000</v>
      </c>
      <c r="G149" s="217" t="s">
        <v>48</v>
      </c>
      <c r="H149" s="217" t="s">
        <v>48</v>
      </c>
      <c r="I149" s="218">
        <v>45363000</v>
      </c>
      <c r="J149" s="218">
        <v>45363000</v>
      </c>
      <c r="K149" s="217" t="s">
        <v>112</v>
      </c>
      <c r="L149" s="218">
        <v>35154493</v>
      </c>
      <c r="M149" s="218">
        <v>11782666</v>
      </c>
      <c r="N149" s="218">
        <v>11782666</v>
      </c>
      <c r="O149" s="219">
        <v>0.77500000000000002</v>
      </c>
      <c r="P149" s="8"/>
      <c r="Q149" s="183" t="e">
        <f t="shared" si="60"/>
        <v>#DIV/0!</v>
      </c>
      <c r="R149" s="347"/>
    </row>
    <row r="150" spans="1:18" s="166" customFormat="1">
      <c r="A150" s="11"/>
      <c r="B150" s="16"/>
      <c r="C150" s="12" t="s">
        <v>425</v>
      </c>
      <c r="D150" s="24"/>
      <c r="E150" s="11" t="s">
        <v>426</v>
      </c>
      <c r="F150" s="211">
        <v>9777661000</v>
      </c>
      <c r="G150" s="213">
        <v>113391375</v>
      </c>
      <c r="H150" s="213">
        <v>-4132168</v>
      </c>
      <c r="I150" s="213">
        <v>9773528832</v>
      </c>
      <c r="J150" s="213">
        <v>9359941735</v>
      </c>
      <c r="K150" s="213">
        <v>-45464183</v>
      </c>
      <c r="L150" s="213">
        <v>8466461956</v>
      </c>
      <c r="M150" s="213">
        <v>1790715998</v>
      </c>
      <c r="N150" s="213">
        <v>6093584589</v>
      </c>
      <c r="O150" s="214">
        <v>0.86629999999999996</v>
      </c>
      <c r="P150" s="13">
        <f t="shared" ref="G150:P150" si="61">SUM(P151:P156)</f>
        <v>9163175525</v>
      </c>
      <c r="Q150" s="183">
        <f t="shared" si="60"/>
        <v>-6.6609365425202849E-2</v>
      </c>
      <c r="R150" s="349">
        <f>SUM(R151:R156)</f>
        <v>9163175525</v>
      </c>
    </row>
    <row r="151" spans="1:18" s="167" customFormat="1">
      <c r="A151" s="10"/>
      <c r="B151" s="14" t="s">
        <v>427</v>
      </c>
      <c r="C151" s="10" t="s">
        <v>428</v>
      </c>
      <c r="D151" s="25" t="s">
        <v>393</v>
      </c>
      <c r="E151" s="9" t="s">
        <v>429</v>
      </c>
      <c r="F151" s="216">
        <v>3187422000</v>
      </c>
      <c r="G151" s="217" t="s">
        <v>48</v>
      </c>
      <c r="H151" s="218">
        <v>-18400000</v>
      </c>
      <c r="I151" s="218">
        <v>3169022000</v>
      </c>
      <c r="J151" s="218">
        <v>2969022000</v>
      </c>
      <c r="K151" s="218">
        <v>-129075728</v>
      </c>
      <c r="L151" s="218">
        <v>2573931716</v>
      </c>
      <c r="M151" s="218">
        <v>537366428</v>
      </c>
      <c r="N151" s="218">
        <v>1882610743</v>
      </c>
      <c r="O151" s="219">
        <v>0.81220000000000003</v>
      </c>
      <c r="P151" s="8">
        <v>3289770081</v>
      </c>
      <c r="Q151" s="183">
        <f t="shared" si="60"/>
        <v>3.6704109414021996E-2</v>
      </c>
      <c r="R151" s="347">
        <v>3289770081</v>
      </c>
    </row>
    <row r="152" spans="1:18" s="167" customFormat="1">
      <c r="A152" s="10"/>
      <c r="B152" s="14" t="s">
        <v>430</v>
      </c>
      <c r="C152" s="10" t="s">
        <v>431</v>
      </c>
      <c r="D152" s="25" t="s">
        <v>397</v>
      </c>
      <c r="E152" s="9" t="s">
        <v>432</v>
      </c>
      <c r="F152" s="216">
        <v>4780860000</v>
      </c>
      <c r="G152" s="217" t="s">
        <v>48</v>
      </c>
      <c r="H152" s="218">
        <v>-192000000</v>
      </c>
      <c r="I152" s="218">
        <v>4588860000</v>
      </c>
      <c r="J152" s="218">
        <v>4543080291</v>
      </c>
      <c r="K152" s="218">
        <v>19236243</v>
      </c>
      <c r="L152" s="218">
        <v>4080637954</v>
      </c>
      <c r="M152" s="218">
        <v>912529307</v>
      </c>
      <c r="N152" s="218">
        <v>2885574539</v>
      </c>
      <c r="O152" s="219">
        <v>0.88919999999999999</v>
      </c>
      <c r="P152" s="8">
        <v>4623677858</v>
      </c>
      <c r="Q152" s="183">
        <f t="shared" si="60"/>
        <v>7.5303382003046116E-3</v>
      </c>
      <c r="R152" s="347">
        <v>4623677858</v>
      </c>
    </row>
    <row r="153" spans="1:18" s="167" customFormat="1">
      <c r="A153" s="10"/>
      <c r="B153" s="14" t="s">
        <v>433</v>
      </c>
      <c r="C153" s="10" t="s">
        <v>434</v>
      </c>
      <c r="D153" s="25" t="s">
        <v>401</v>
      </c>
      <c r="E153" s="9" t="s">
        <v>435</v>
      </c>
      <c r="F153" s="216">
        <v>712400000</v>
      </c>
      <c r="G153" s="217" t="s">
        <v>48</v>
      </c>
      <c r="H153" s="217" t="s">
        <v>48</v>
      </c>
      <c r="I153" s="218">
        <v>712400000</v>
      </c>
      <c r="J153" s="218">
        <v>677048123</v>
      </c>
      <c r="K153" s="218">
        <v>19739207</v>
      </c>
      <c r="L153" s="218">
        <v>670025530</v>
      </c>
      <c r="M153" s="218">
        <v>119380398</v>
      </c>
      <c r="N153" s="218">
        <v>496554247</v>
      </c>
      <c r="O153" s="219">
        <v>0.9405</v>
      </c>
      <c r="P153" s="8">
        <v>720850643</v>
      </c>
      <c r="Q153" s="183">
        <f t="shared" si="60"/>
        <v>1.1723153862817599E-2</v>
      </c>
      <c r="R153" s="347">
        <v>720850643</v>
      </c>
    </row>
    <row r="154" spans="1:18" s="167" customFormat="1">
      <c r="A154" s="10"/>
      <c r="B154" s="14" t="s">
        <v>436</v>
      </c>
      <c r="C154" s="10" t="s">
        <v>437</v>
      </c>
      <c r="D154" s="25" t="s">
        <v>405</v>
      </c>
      <c r="E154" s="9" t="s">
        <v>438</v>
      </c>
      <c r="F154" s="216">
        <v>798737000</v>
      </c>
      <c r="G154" s="218">
        <v>102000000</v>
      </c>
      <c r="H154" s="218">
        <v>153000000</v>
      </c>
      <c r="I154" s="218">
        <v>951737000</v>
      </c>
      <c r="J154" s="218">
        <v>849737000</v>
      </c>
      <c r="K154" s="218">
        <v>33841253</v>
      </c>
      <c r="L154" s="218">
        <v>821812435</v>
      </c>
      <c r="M154" s="218">
        <v>138877002</v>
      </c>
      <c r="N154" s="218">
        <v>561360415</v>
      </c>
      <c r="O154" s="219">
        <v>0.86350000000000005</v>
      </c>
      <c r="P154" s="8"/>
      <c r="Q154" s="183" t="e">
        <f t="shared" si="60"/>
        <v>#DIV/0!</v>
      </c>
      <c r="R154" s="347"/>
    </row>
    <row r="155" spans="1:18" s="167" customFormat="1">
      <c r="A155" s="10"/>
      <c r="B155" s="14" t="s">
        <v>439</v>
      </c>
      <c r="C155" s="10" t="s">
        <v>440</v>
      </c>
      <c r="D155" s="25" t="s">
        <v>409</v>
      </c>
      <c r="E155" s="9" t="s">
        <v>441</v>
      </c>
      <c r="F155" s="216">
        <v>298242000</v>
      </c>
      <c r="G155" s="218">
        <v>11391375</v>
      </c>
      <c r="H155" s="218">
        <v>53267832</v>
      </c>
      <c r="I155" s="218">
        <v>351509832</v>
      </c>
      <c r="J155" s="218">
        <v>321054321</v>
      </c>
      <c r="K155" s="218">
        <v>10794842</v>
      </c>
      <c r="L155" s="218">
        <v>320054321</v>
      </c>
      <c r="M155" s="218">
        <v>82562863</v>
      </c>
      <c r="N155" s="218">
        <v>267484645</v>
      </c>
      <c r="O155" s="219">
        <v>0.91049999999999998</v>
      </c>
      <c r="P155" s="8">
        <v>528876943</v>
      </c>
      <c r="Q155" s="183">
        <f t="shared" si="60"/>
        <v>0.33536555780613791</v>
      </c>
      <c r="R155" s="347">
        <v>528876943</v>
      </c>
    </row>
    <row r="156" spans="1:18" s="167" customFormat="1">
      <c r="A156" s="10"/>
      <c r="B156" s="14"/>
      <c r="C156" s="10" t="s">
        <v>442</v>
      </c>
      <c r="D156" s="25" t="s">
        <v>419</v>
      </c>
      <c r="E156" s="9" t="s">
        <v>443</v>
      </c>
      <c r="F156" s="215" t="s">
        <v>304</v>
      </c>
      <c r="G156" s="217" t="s">
        <v>48</v>
      </c>
      <c r="H156" s="217" t="s">
        <v>48</v>
      </c>
      <c r="I156" s="217" t="s">
        <v>304</v>
      </c>
      <c r="J156" s="217" t="s">
        <v>305</v>
      </c>
      <c r="K156" s="217" t="s">
        <v>112</v>
      </c>
      <c r="L156" s="217" t="s">
        <v>112</v>
      </c>
      <c r="M156" s="217" t="s">
        <v>113</v>
      </c>
      <c r="N156" s="217" t="s">
        <v>114</v>
      </c>
      <c r="O156" s="219">
        <v>0</v>
      </c>
      <c r="P156" s="8">
        <v>0</v>
      </c>
      <c r="Q156" s="183" t="e">
        <f t="shared" si="60"/>
        <v>#VALUE!</v>
      </c>
      <c r="R156" s="347">
        <v>0</v>
      </c>
    </row>
    <row r="157" spans="1:18" s="166" customFormat="1">
      <c r="A157" s="72" t="s">
        <v>444</v>
      </c>
      <c r="B157" s="73" t="s">
        <v>445</v>
      </c>
      <c r="C157" s="74" t="s">
        <v>446</v>
      </c>
      <c r="D157" s="75"/>
      <c r="E157" s="20" t="s">
        <v>447</v>
      </c>
      <c r="F157" s="206">
        <v>1452068000</v>
      </c>
      <c r="G157" s="208">
        <v>3441128</v>
      </c>
      <c r="H157" s="208">
        <v>-60733637</v>
      </c>
      <c r="I157" s="208">
        <v>1391334363</v>
      </c>
      <c r="J157" s="208">
        <v>1374058056</v>
      </c>
      <c r="K157" s="208">
        <v>37414061</v>
      </c>
      <c r="L157" s="208">
        <v>1278135933</v>
      </c>
      <c r="M157" s="207" t="s">
        <v>315</v>
      </c>
      <c r="N157" s="207" t="s">
        <v>448</v>
      </c>
      <c r="O157" s="209">
        <v>0.91859999999999997</v>
      </c>
      <c r="P157" s="76">
        <f t="shared" ref="G157:P157" si="62">+P158+P167</f>
        <v>1934229980.76</v>
      </c>
      <c r="Q157" s="183">
        <f t="shared" si="60"/>
        <v>0.28067790446857038</v>
      </c>
      <c r="R157" s="345">
        <f>+R158+R167</f>
        <v>1516024080</v>
      </c>
    </row>
    <row r="158" spans="1:18" s="166" customFormat="1">
      <c r="A158" s="11"/>
      <c r="B158" s="16"/>
      <c r="C158" s="12" t="s">
        <v>449</v>
      </c>
      <c r="D158" s="24"/>
      <c r="E158" s="11" t="s">
        <v>450</v>
      </c>
      <c r="F158" s="211">
        <v>1452068000</v>
      </c>
      <c r="G158" s="213">
        <v>3441128</v>
      </c>
      <c r="H158" s="213">
        <v>-60733637</v>
      </c>
      <c r="I158" s="213">
        <v>1391334363</v>
      </c>
      <c r="J158" s="213">
        <v>1374058056</v>
      </c>
      <c r="K158" s="213">
        <v>37414061</v>
      </c>
      <c r="L158" s="213">
        <v>1278135933</v>
      </c>
      <c r="M158" s="212" t="s">
        <v>315</v>
      </c>
      <c r="N158" s="212" t="s">
        <v>448</v>
      </c>
      <c r="O158" s="214">
        <v>0.91859999999999997</v>
      </c>
      <c r="P158" s="13">
        <f t="shared" ref="G158:P158" si="63">SUM(P159:P166)</f>
        <v>1934229980.76</v>
      </c>
      <c r="Q158" s="183">
        <f t="shared" si="60"/>
        <v>0.28067790446857038</v>
      </c>
      <c r="R158" s="349">
        <f>SUM(R159:R166)</f>
        <v>1516024080</v>
      </c>
    </row>
    <row r="159" spans="1:18" s="167" customFormat="1">
      <c r="A159" s="10"/>
      <c r="B159" s="14" t="s">
        <v>451</v>
      </c>
      <c r="C159" s="10" t="s">
        <v>452</v>
      </c>
      <c r="D159" s="25" t="s">
        <v>393</v>
      </c>
      <c r="E159" s="9" t="s">
        <v>453</v>
      </c>
      <c r="F159" s="216">
        <v>289755000</v>
      </c>
      <c r="G159" s="217" t="s">
        <v>48</v>
      </c>
      <c r="H159" s="217" t="s">
        <v>48</v>
      </c>
      <c r="I159" s="218">
        <v>289755000</v>
      </c>
      <c r="J159" s="218">
        <v>272478693</v>
      </c>
      <c r="K159" s="217" t="s">
        <v>112</v>
      </c>
      <c r="L159" s="218">
        <v>272478693</v>
      </c>
      <c r="M159" s="217" t="s">
        <v>113</v>
      </c>
      <c r="N159" s="217" t="s">
        <v>114</v>
      </c>
      <c r="O159" s="219">
        <v>0.94040000000000001</v>
      </c>
      <c r="P159" s="8">
        <v>352396333</v>
      </c>
      <c r="Q159" s="183">
        <f t="shared" si="60"/>
        <v>0.17775818626353299</v>
      </c>
      <c r="R159" s="347">
        <v>352396333</v>
      </c>
    </row>
    <row r="160" spans="1:18" s="167" customFormat="1">
      <c r="A160" s="10"/>
      <c r="B160" s="14" t="s">
        <v>454</v>
      </c>
      <c r="C160" s="10" t="s">
        <v>455</v>
      </c>
      <c r="D160" s="25" t="s">
        <v>397</v>
      </c>
      <c r="E160" s="9" t="s">
        <v>456</v>
      </c>
      <c r="F160" s="216">
        <v>330911000</v>
      </c>
      <c r="G160" s="217" t="s">
        <v>48</v>
      </c>
      <c r="H160" s="218">
        <v>-32000000</v>
      </c>
      <c r="I160" s="218">
        <v>298911000</v>
      </c>
      <c r="J160" s="218">
        <v>298911000</v>
      </c>
      <c r="K160" s="217" t="s">
        <v>112</v>
      </c>
      <c r="L160" s="218">
        <v>261140508</v>
      </c>
      <c r="M160" s="217" t="s">
        <v>113</v>
      </c>
      <c r="N160" s="217" t="s">
        <v>114</v>
      </c>
      <c r="O160" s="219">
        <v>0.87360000000000004</v>
      </c>
      <c r="P160" s="8">
        <v>355058880</v>
      </c>
      <c r="Q160" s="183">
        <f t="shared" si="60"/>
        <v>0.15813681381521849</v>
      </c>
      <c r="R160" s="347">
        <v>355058880</v>
      </c>
    </row>
    <row r="161" spans="1:18" s="167" customFormat="1">
      <c r="A161" s="10"/>
      <c r="B161" s="14" t="s">
        <v>457</v>
      </c>
      <c r="C161" s="10" t="s">
        <v>458</v>
      </c>
      <c r="D161" s="25" t="s">
        <v>401</v>
      </c>
      <c r="E161" s="9" t="s">
        <v>459</v>
      </c>
      <c r="F161" s="216">
        <v>144049000</v>
      </c>
      <c r="G161" s="218">
        <v>3441128</v>
      </c>
      <c r="H161" s="218">
        <v>23899539</v>
      </c>
      <c r="I161" s="218">
        <v>167948539</v>
      </c>
      <c r="J161" s="218">
        <v>167948539</v>
      </c>
      <c r="K161" s="217" t="s">
        <v>112</v>
      </c>
      <c r="L161" s="218">
        <v>127326943</v>
      </c>
      <c r="M161" s="217" t="s">
        <v>113</v>
      </c>
      <c r="N161" s="217" t="s">
        <v>114</v>
      </c>
      <c r="O161" s="219">
        <v>0.7581</v>
      </c>
      <c r="P161" s="8">
        <v>264661815</v>
      </c>
      <c r="Q161" s="183">
        <f t="shared" si="60"/>
        <v>0.36542209914188034</v>
      </c>
      <c r="R161" s="347">
        <v>264661815</v>
      </c>
    </row>
    <row r="162" spans="1:18" s="167" customFormat="1">
      <c r="A162" s="10"/>
      <c r="B162" s="14" t="s">
        <v>460</v>
      </c>
      <c r="C162" s="10" t="s">
        <v>461</v>
      </c>
      <c r="D162" s="25" t="s">
        <v>405</v>
      </c>
      <c r="E162" s="9" t="s">
        <v>462</v>
      </c>
      <c r="F162" s="216">
        <v>300751000</v>
      </c>
      <c r="G162" s="217" t="s">
        <v>48</v>
      </c>
      <c r="H162" s="218">
        <v>-29379843</v>
      </c>
      <c r="I162" s="218">
        <v>271371157</v>
      </c>
      <c r="J162" s="218">
        <v>271371157</v>
      </c>
      <c r="K162" s="217" t="s">
        <v>112</v>
      </c>
      <c r="L162" s="218">
        <v>254523474</v>
      </c>
      <c r="M162" s="217" t="s">
        <v>113</v>
      </c>
      <c r="N162" s="217" t="s">
        <v>114</v>
      </c>
      <c r="O162" s="219">
        <v>0.93789999999999996</v>
      </c>
      <c r="P162" s="8">
        <v>418205900.75999999</v>
      </c>
      <c r="Q162" s="183">
        <f t="shared" si="60"/>
        <v>0.35110634138150409</v>
      </c>
      <c r="R162" s="347"/>
    </row>
    <row r="163" spans="1:18" s="167" customFormat="1">
      <c r="A163" s="10"/>
      <c r="B163" s="14" t="s">
        <v>463</v>
      </c>
      <c r="C163" s="10" t="s">
        <v>464</v>
      </c>
      <c r="D163" s="25" t="s">
        <v>409</v>
      </c>
      <c r="E163" s="9" t="s">
        <v>465</v>
      </c>
      <c r="F163" s="216">
        <v>253378000</v>
      </c>
      <c r="G163" s="217" t="s">
        <v>48</v>
      </c>
      <c r="H163" s="218">
        <v>-32253333</v>
      </c>
      <c r="I163" s="218">
        <v>221124667</v>
      </c>
      <c r="J163" s="218">
        <v>221124667</v>
      </c>
      <c r="K163" s="218">
        <v>37414061</v>
      </c>
      <c r="L163" s="218">
        <v>221024659</v>
      </c>
      <c r="M163" s="217" t="s">
        <v>113</v>
      </c>
      <c r="N163" s="217" t="s">
        <v>114</v>
      </c>
      <c r="O163" s="219">
        <v>0.99950000000000006</v>
      </c>
      <c r="P163" s="8">
        <v>336503797</v>
      </c>
      <c r="Q163" s="183">
        <f t="shared" si="60"/>
        <v>0.3428761607703345</v>
      </c>
      <c r="R163" s="347">
        <v>336503797</v>
      </c>
    </row>
    <row r="164" spans="1:18" s="167" customFormat="1">
      <c r="A164" s="10"/>
      <c r="B164" s="14"/>
      <c r="C164" s="10" t="s">
        <v>466</v>
      </c>
      <c r="D164" s="25" t="s">
        <v>413</v>
      </c>
      <c r="E164" s="9" t="s">
        <v>467</v>
      </c>
      <c r="F164" s="215" t="s">
        <v>304</v>
      </c>
      <c r="G164" s="217" t="s">
        <v>48</v>
      </c>
      <c r="H164" s="217" t="s">
        <v>48</v>
      </c>
      <c r="I164" s="217" t="s">
        <v>304</v>
      </c>
      <c r="J164" s="217" t="s">
        <v>305</v>
      </c>
      <c r="K164" s="217" t="s">
        <v>112</v>
      </c>
      <c r="L164" s="217" t="s">
        <v>112</v>
      </c>
      <c r="M164" s="217" t="s">
        <v>113</v>
      </c>
      <c r="N164" s="217" t="s">
        <v>114</v>
      </c>
      <c r="O164" s="219">
        <v>0</v>
      </c>
      <c r="P164" s="8">
        <v>0</v>
      </c>
      <c r="Q164" s="183" t="e">
        <f t="shared" si="60"/>
        <v>#VALUE!</v>
      </c>
      <c r="R164" s="347">
        <v>0</v>
      </c>
    </row>
    <row r="165" spans="1:18" s="167" customFormat="1">
      <c r="A165" s="10"/>
      <c r="B165" s="14" t="s">
        <v>468</v>
      </c>
      <c r="C165" s="10" t="s">
        <v>469</v>
      </c>
      <c r="D165" s="25" t="s">
        <v>419</v>
      </c>
      <c r="E165" s="9" t="s">
        <v>470</v>
      </c>
      <c r="F165" s="216">
        <v>133224000</v>
      </c>
      <c r="G165" s="217" t="s">
        <v>48</v>
      </c>
      <c r="H165" s="218">
        <v>9000000</v>
      </c>
      <c r="I165" s="218">
        <v>142224000</v>
      </c>
      <c r="J165" s="218">
        <v>142224000</v>
      </c>
      <c r="K165" s="217" t="s">
        <v>112</v>
      </c>
      <c r="L165" s="218">
        <v>141641656</v>
      </c>
      <c r="M165" s="217" t="s">
        <v>113</v>
      </c>
      <c r="N165" s="217" t="s">
        <v>114</v>
      </c>
      <c r="O165" s="219">
        <v>0.99590000000000001</v>
      </c>
      <c r="P165" s="186">
        <v>207403255</v>
      </c>
      <c r="Q165" s="183">
        <f t="shared" si="60"/>
        <v>0.31426341404333313</v>
      </c>
      <c r="R165" s="350">
        <v>207403255</v>
      </c>
    </row>
    <row r="166" spans="1:18" s="167" customFormat="1">
      <c r="A166" s="10"/>
      <c r="B166" s="14"/>
      <c r="C166" s="10" t="s">
        <v>471</v>
      </c>
      <c r="D166" s="25" t="s">
        <v>423</v>
      </c>
      <c r="E166" s="9" t="s">
        <v>472</v>
      </c>
      <c r="F166" s="215" t="s">
        <v>304</v>
      </c>
      <c r="G166" s="217" t="s">
        <v>48</v>
      </c>
      <c r="H166" s="217" t="s">
        <v>48</v>
      </c>
      <c r="I166" s="217" t="s">
        <v>304</v>
      </c>
      <c r="J166" s="217" t="s">
        <v>305</v>
      </c>
      <c r="K166" s="217" t="s">
        <v>112</v>
      </c>
      <c r="L166" s="217" t="s">
        <v>112</v>
      </c>
      <c r="M166" s="217" t="s">
        <v>113</v>
      </c>
      <c r="N166" s="217" t="s">
        <v>114</v>
      </c>
      <c r="O166" s="219">
        <v>0</v>
      </c>
      <c r="P166" s="8"/>
      <c r="Q166" s="183" t="e">
        <f t="shared" si="60"/>
        <v>#VALUE!</v>
      </c>
      <c r="R166" s="347"/>
    </row>
    <row r="167" spans="1:18" s="166" customFormat="1">
      <c r="A167" s="11"/>
      <c r="B167" s="16"/>
      <c r="C167" s="12" t="s">
        <v>473</v>
      </c>
      <c r="D167" s="24"/>
      <c r="E167" s="11" t="s">
        <v>474</v>
      </c>
      <c r="F167" s="210" t="s">
        <v>475</v>
      </c>
      <c r="G167" s="212" t="s">
        <v>35</v>
      </c>
      <c r="H167" s="212" t="s">
        <v>35</v>
      </c>
      <c r="I167" s="212" t="s">
        <v>475</v>
      </c>
      <c r="J167" s="212" t="s">
        <v>476</v>
      </c>
      <c r="K167" s="212" t="s">
        <v>314</v>
      </c>
      <c r="L167" s="212" t="s">
        <v>314</v>
      </c>
      <c r="M167" s="212" t="s">
        <v>315</v>
      </c>
      <c r="N167" s="212" t="s">
        <v>448</v>
      </c>
      <c r="O167" s="214">
        <v>0</v>
      </c>
      <c r="P167" s="13">
        <f t="shared" ref="G167:P167" si="64">SUM(P168:P173)</f>
        <v>0</v>
      </c>
      <c r="Q167" s="183" t="e">
        <f t="shared" si="60"/>
        <v>#VALUE!</v>
      </c>
      <c r="R167" s="349">
        <f>SUM(R168:R173)</f>
        <v>0</v>
      </c>
    </row>
    <row r="168" spans="1:18" s="167" customFormat="1">
      <c r="A168" s="10"/>
      <c r="B168" s="14"/>
      <c r="C168" s="10" t="s">
        <v>477</v>
      </c>
      <c r="D168" s="25" t="s">
        <v>393</v>
      </c>
      <c r="E168" s="9" t="s">
        <v>478</v>
      </c>
      <c r="F168" s="215" t="s">
        <v>304</v>
      </c>
      <c r="G168" s="217" t="s">
        <v>48</v>
      </c>
      <c r="H168" s="217" t="s">
        <v>48</v>
      </c>
      <c r="I168" s="217" t="s">
        <v>304</v>
      </c>
      <c r="J168" s="217" t="s">
        <v>305</v>
      </c>
      <c r="K168" s="217" t="s">
        <v>112</v>
      </c>
      <c r="L168" s="217" t="s">
        <v>112</v>
      </c>
      <c r="M168" s="217" t="s">
        <v>113</v>
      </c>
      <c r="N168" s="217" t="s">
        <v>114</v>
      </c>
      <c r="O168" s="219">
        <v>0</v>
      </c>
      <c r="P168" s="8">
        <v>0</v>
      </c>
      <c r="Q168" s="183" t="e">
        <f t="shared" si="60"/>
        <v>#VALUE!</v>
      </c>
      <c r="R168" s="347">
        <v>0</v>
      </c>
    </row>
    <row r="169" spans="1:18" s="167" customFormat="1">
      <c r="A169" s="10"/>
      <c r="B169" s="14"/>
      <c r="C169" s="10" t="s">
        <v>479</v>
      </c>
      <c r="D169" s="25" t="s">
        <v>397</v>
      </c>
      <c r="E169" s="9" t="s">
        <v>480</v>
      </c>
      <c r="F169" s="215" t="s">
        <v>304</v>
      </c>
      <c r="G169" s="217" t="s">
        <v>48</v>
      </c>
      <c r="H169" s="217" t="s">
        <v>48</v>
      </c>
      <c r="I169" s="217" t="s">
        <v>304</v>
      </c>
      <c r="J169" s="217" t="s">
        <v>305</v>
      </c>
      <c r="K169" s="217" t="s">
        <v>112</v>
      </c>
      <c r="L169" s="217" t="s">
        <v>112</v>
      </c>
      <c r="M169" s="217" t="s">
        <v>113</v>
      </c>
      <c r="N169" s="217" t="s">
        <v>114</v>
      </c>
      <c r="O169" s="219">
        <v>0</v>
      </c>
      <c r="P169" s="8">
        <v>0</v>
      </c>
      <c r="Q169" s="183" t="e">
        <f t="shared" si="60"/>
        <v>#VALUE!</v>
      </c>
      <c r="R169" s="347">
        <v>0</v>
      </c>
    </row>
    <row r="170" spans="1:18" s="167" customFormat="1">
      <c r="A170" s="10"/>
      <c r="B170" s="14"/>
      <c r="C170" s="10" t="s">
        <v>481</v>
      </c>
      <c r="D170" s="25" t="s">
        <v>401</v>
      </c>
      <c r="E170" s="9" t="s">
        <v>482</v>
      </c>
      <c r="F170" s="215" t="s">
        <v>304</v>
      </c>
      <c r="G170" s="217" t="s">
        <v>48</v>
      </c>
      <c r="H170" s="217" t="s">
        <v>48</v>
      </c>
      <c r="I170" s="217" t="s">
        <v>304</v>
      </c>
      <c r="J170" s="217" t="s">
        <v>305</v>
      </c>
      <c r="K170" s="217" t="s">
        <v>112</v>
      </c>
      <c r="L170" s="217" t="s">
        <v>112</v>
      </c>
      <c r="M170" s="217" t="s">
        <v>113</v>
      </c>
      <c r="N170" s="217" t="s">
        <v>114</v>
      </c>
      <c r="O170" s="219">
        <v>0</v>
      </c>
      <c r="P170" s="8">
        <v>0</v>
      </c>
      <c r="Q170" s="183" t="e">
        <f t="shared" si="60"/>
        <v>#VALUE!</v>
      </c>
      <c r="R170" s="347">
        <v>0</v>
      </c>
    </row>
    <row r="171" spans="1:18" s="167" customFormat="1">
      <c r="A171" s="10"/>
      <c r="B171" s="14"/>
      <c r="C171" s="10" t="s">
        <v>483</v>
      </c>
      <c r="D171" s="25" t="s">
        <v>405</v>
      </c>
      <c r="E171" s="9" t="s">
        <v>484</v>
      </c>
      <c r="F171" s="215" t="s">
        <v>304</v>
      </c>
      <c r="G171" s="217" t="s">
        <v>48</v>
      </c>
      <c r="H171" s="217" t="s">
        <v>48</v>
      </c>
      <c r="I171" s="217" t="s">
        <v>304</v>
      </c>
      <c r="J171" s="217" t="s">
        <v>305</v>
      </c>
      <c r="K171" s="217" t="s">
        <v>112</v>
      </c>
      <c r="L171" s="217" t="s">
        <v>112</v>
      </c>
      <c r="M171" s="217" t="s">
        <v>113</v>
      </c>
      <c r="N171" s="217" t="s">
        <v>114</v>
      </c>
      <c r="O171" s="219">
        <v>0</v>
      </c>
      <c r="P171" s="8"/>
      <c r="Q171" s="183" t="e">
        <f t="shared" si="60"/>
        <v>#VALUE!</v>
      </c>
      <c r="R171" s="347"/>
    </row>
    <row r="172" spans="1:18" s="167" customFormat="1">
      <c r="A172" s="10"/>
      <c r="B172" s="14"/>
      <c r="C172" s="10" t="s">
        <v>485</v>
      </c>
      <c r="D172" s="25" t="s">
        <v>409</v>
      </c>
      <c r="E172" s="9" t="s">
        <v>486</v>
      </c>
      <c r="F172" s="215" t="s">
        <v>304</v>
      </c>
      <c r="G172" s="217" t="s">
        <v>48</v>
      </c>
      <c r="H172" s="217" t="s">
        <v>48</v>
      </c>
      <c r="I172" s="217" t="s">
        <v>304</v>
      </c>
      <c r="J172" s="217" t="s">
        <v>305</v>
      </c>
      <c r="K172" s="217" t="s">
        <v>112</v>
      </c>
      <c r="L172" s="217" t="s">
        <v>112</v>
      </c>
      <c r="M172" s="217" t="s">
        <v>113</v>
      </c>
      <c r="N172" s="217" t="s">
        <v>114</v>
      </c>
      <c r="O172" s="219">
        <v>0</v>
      </c>
      <c r="P172" s="8"/>
      <c r="Q172" s="183" t="e">
        <f t="shared" si="60"/>
        <v>#VALUE!</v>
      </c>
      <c r="R172" s="347"/>
    </row>
    <row r="173" spans="1:18" s="167" customFormat="1">
      <c r="A173" s="10"/>
      <c r="B173" s="14"/>
      <c r="C173" s="10" t="s">
        <v>487</v>
      </c>
      <c r="D173" s="25" t="s">
        <v>419</v>
      </c>
      <c r="E173" s="9" t="s">
        <v>488</v>
      </c>
      <c r="F173" s="215" t="s">
        <v>304</v>
      </c>
      <c r="G173" s="217" t="s">
        <v>48</v>
      </c>
      <c r="H173" s="217" t="s">
        <v>48</v>
      </c>
      <c r="I173" s="217" t="s">
        <v>304</v>
      </c>
      <c r="J173" s="217" t="s">
        <v>305</v>
      </c>
      <c r="K173" s="217" t="s">
        <v>112</v>
      </c>
      <c r="L173" s="217" t="s">
        <v>112</v>
      </c>
      <c r="M173" s="217" t="s">
        <v>113</v>
      </c>
      <c r="N173" s="217" t="s">
        <v>114</v>
      </c>
      <c r="O173" s="219">
        <v>0</v>
      </c>
      <c r="P173" s="8">
        <v>0</v>
      </c>
      <c r="Q173" s="183" t="e">
        <f t="shared" si="60"/>
        <v>#VALUE!</v>
      </c>
      <c r="R173" s="347">
        <v>0</v>
      </c>
    </row>
    <row r="174" spans="1:18" s="166" customFormat="1">
      <c r="A174" s="72" t="s">
        <v>489</v>
      </c>
      <c r="B174" s="73" t="s">
        <v>490</v>
      </c>
      <c r="C174" s="74" t="s">
        <v>491</v>
      </c>
      <c r="D174" s="75"/>
      <c r="E174" s="20" t="s">
        <v>98</v>
      </c>
      <c r="F174" s="206">
        <v>5419491000</v>
      </c>
      <c r="G174" s="208">
        <v>726041424</v>
      </c>
      <c r="H174" s="208">
        <v>1801434652</v>
      </c>
      <c r="I174" s="208">
        <v>7220925652</v>
      </c>
      <c r="J174" s="208">
        <v>7105253980</v>
      </c>
      <c r="K174" s="208">
        <v>432579409</v>
      </c>
      <c r="L174" s="208">
        <v>6412414217</v>
      </c>
      <c r="M174" s="208">
        <v>99318956</v>
      </c>
      <c r="N174" s="208">
        <v>2587065938</v>
      </c>
      <c r="O174" s="209">
        <v>0.88800000000000001</v>
      </c>
      <c r="P174" s="76">
        <f t="shared" ref="G174:P174" si="65">+P175+P192</f>
        <v>8264769414.3400002</v>
      </c>
      <c r="Q174" s="183">
        <f t="shared" si="60"/>
        <v>0.12630040960717576</v>
      </c>
      <c r="R174" s="345">
        <f>+R175+R192</f>
        <v>6710631130</v>
      </c>
    </row>
    <row r="175" spans="1:18" s="166" customFormat="1">
      <c r="A175" s="32" t="s">
        <v>492</v>
      </c>
      <c r="B175" s="81" t="s">
        <v>493</v>
      </c>
      <c r="C175" s="82" t="s">
        <v>494</v>
      </c>
      <c r="D175" s="31"/>
      <c r="E175" s="32" t="s">
        <v>102</v>
      </c>
      <c r="F175" s="229">
        <v>3373771000</v>
      </c>
      <c r="G175" s="230">
        <v>345936319</v>
      </c>
      <c r="H175" s="230">
        <v>1031276174</v>
      </c>
      <c r="I175" s="230">
        <v>4405047174</v>
      </c>
      <c r="J175" s="230">
        <v>4338623521</v>
      </c>
      <c r="K175" s="230">
        <v>243482674</v>
      </c>
      <c r="L175" s="230">
        <v>3914288427</v>
      </c>
      <c r="M175" s="230">
        <v>60870227</v>
      </c>
      <c r="N175" s="230">
        <v>1599565087</v>
      </c>
      <c r="O175" s="231">
        <v>0.88859999999999995</v>
      </c>
      <c r="P175" s="83">
        <f t="shared" ref="G175:P175" si="66">+P176+P185</f>
        <v>5027754081.4400005</v>
      </c>
      <c r="Q175" s="183">
        <f t="shared" si="60"/>
        <v>0.12385389129089044</v>
      </c>
      <c r="R175" s="351">
        <f>+R176+R185</f>
        <v>4088439777</v>
      </c>
    </row>
    <row r="176" spans="1:18" s="166" customFormat="1">
      <c r="A176" s="11"/>
      <c r="B176" s="16"/>
      <c r="C176" s="12" t="s">
        <v>495</v>
      </c>
      <c r="D176" s="24"/>
      <c r="E176" s="11" t="s">
        <v>496</v>
      </c>
      <c r="F176" s="211">
        <v>3126549000</v>
      </c>
      <c r="G176" s="213">
        <v>336288251</v>
      </c>
      <c r="H176" s="213">
        <v>1011038953</v>
      </c>
      <c r="I176" s="213">
        <v>4137587953</v>
      </c>
      <c r="J176" s="213">
        <v>4081902169</v>
      </c>
      <c r="K176" s="213">
        <v>244411740</v>
      </c>
      <c r="L176" s="213">
        <v>3690044367</v>
      </c>
      <c r="M176" s="213">
        <v>52285756</v>
      </c>
      <c r="N176" s="213">
        <v>1483026560</v>
      </c>
      <c r="O176" s="214">
        <v>0.89180000000000004</v>
      </c>
      <c r="P176" s="13">
        <f t="shared" ref="G176:P176" si="67">SUM(P177:P184)</f>
        <v>4766876629.4400005</v>
      </c>
      <c r="Q176" s="183">
        <f t="shared" si="60"/>
        <v>0.13201278853191709</v>
      </c>
      <c r="R176" s="349">
        <f>SUM(R177:R184)</f>
        <v>3827562325</v>
      </c>
    </row>
    <row r="177" spans="1:18" s="167" customFormat="1">
      <c r="A177" s="10"/>
      <c r="B177" s="14" t="s">
        <v>497</v>
      </c>
      <c r="C177" s="10" t="s">
        <v>498</v>
      </c>
      <c r="D177" s="25" t="s">
        <v>393</v>
      </c>
      <c r="E177" s="9" t="s">
        <v>499</v>
      </c>
      <c r="F177" s="216">
        <v>607011000</v>
      </c>
      <c r="G177" s="218">
        <v>10345649</v>
      </c>
      <c r="H177" s="218">
        <v>92804536</v>
      </c>
      <c r="I177" s="218">
        <v>699815536</v>
      </c>
      <c r="J177" s="218">
        <v>689469887</v>
      </c>
      <c r="K177" s="218">
        <v>4306285</v>
      </c>
      <c r="L177" s="218">
        <v>653397525</v>
      </c>
      <c r="M177" s="218">
        <v>253299</v>
      </c>
      <c r="N177" s="218">
        <v>221468663</v>
      </c>
      <c r="O177" s="219">
        <v>0.93369999999999997</v>
      </c>
      <c r="P177" s="8">
        <v>787153124</v>
      </c>
      <c r="Q177" s="183">
        <f t="shared" si="60"/>
        <v>0.11095374627516565</v>
      </c>
      <c r="R177" s="347">
        <v>787153124</v>
      </c>
    </row>
    <row r="178" spans="1:18" s="167" customFormat="1">
      <c r="A178" s="10"/>
      <c r="B178" s="14" t="s">
        <v>500</v>
      </c>
      <c r="C178" s="10" t="s">
        <v>501</v>
      </c>
      <c r="D178" s="25" t="s">
        <v>397</v>
      </c>
      <c r="E178" s="9" t="s">
        <v>502</v>
      </c>
      <c r="F178" s="216">
        <v>721618000</v>
      </c>
      <c r="G178" s="218">
        <v>81092129</v>
      </c>
      <c r="H178" s="218">
        <v>211724792</v>
      </c>
      <c r="I178" s="218">
        <v>933342792</v>
      </c>
      <c r="J178" s="218">
        <v>933342792</v>
      </c>
      <c r="K178" s="218">
        <v>3665072</v>
      </c>
      <c r="L178" s="218">
        <v>724136245</v>
      </c>
      <c r="M178" s="218">
        <v>3793099</v>
      </c>
      <c r="N178" s="218">
        <v>341457155</v>
      </c>
      <c r="O178" s="219">
        <v>0.77590000000000003</v>
      </c>
      <c r="P178" s="8">
        <v>1076166251</v>
      </c>
      <c r="Q178" s="183">
        <f t="shared" si="60"/>
        <v>0.13271505110598381</v>
      </c>
      <c r="R178" s="347">
        <v>1076166251</v>
      </c>
    </row>
    <row r="179" spans="1:18" s="167" customFormat="1">
      <c r="A179" s="10"/>
      <c r="B179" s="14" t="s">
        <v>503</v>
      </c>
      <c r="C179" s="10" t="s">
        <v>504</v>
      </c>
      <c r="D179" s="25" t="s">
        <v>401</v>
      </c>
      <c r="E179" s="9" t="s">
        <v>505</v>
      </c>
      <c r="F179" s="216">
        <v>414379000</v>
      </c>
      <c r="G179" s="218">
        <v>55687634</v>
      </c>
      <c r="H179" s="218">
        <v>106833660</v>
      </c>
      <c r="I179" s="218">
        <v>521212660</v>
      </c>
      <c r="J179" s="218">
        <v>521212660</v>
      </c>
      <c r="K179" s="218">
        <v>83903534</v>
      </c>
      <c r="L179" s="218">
        <v>494524392</v>
      </c>
      <c r="M179" s="218">
        <v>37448965</v>
      </c>
      <c r="N179" s="218">
        <v>250297513</v>
      </c>
      <c r="O179" s="219">
        <v>0.94879999999999998</v>
      </c>
      <c r="P179" s="8">
        <v>579490489</v>
      </c>
      <c r="Q179" s="183">
        <f t="shared" si="60"/>
        <v>0.10056736064912361</v>
      </c>
      <c r="R179" s="347">
        <v>579490489</v>
      </c>
    </row>
    <row r="180" spans="1:18" s="176" customFormat="1">
      <c r="A180" s="10"/>
      <c r="B180" s="14" t="s">
        <v>506</v>
      </c>
      <c r="C180" s="10" t="s">
        <v>507</v>
      </c>
      <c r="D180" s="25" t="s">
        <v>405</v>
      </c>
      <c r="E180" s="9" t="s">
        <v>508</v>
      </c>
      <c r="F180" s="216">
        <v>414379000</v>
      </c>
      <c r="G180" s="218">
        <v>21339881</v>
      </c>
      <c r="H180" s="218">
        <v>363828889</v>
      </c>
      <c r="I180" s="218">
        <v>778207889</v>
      </c>
      <c r="J180" s="218">
        <v>756868008</v>
      </c>
      <c r="K180" s="218">
        <v>-1291473</v>
      </c>
      <c r="L180" s="218">
        <v>739682894</v>
      </c>
      <c r="M180" s="218">
        <v>226553</v>
      </c>
      <c r="N180" s="218">
        <v>280679603</v>
      </c>
      <c r="O180" s="219">
        <v>0.95050000000000001</v>
      </c>
      <c r="P180" s="8">
        <v>939314304.44000006</v>
      </c>
      <c r="Q180" s="183">
        <f t="shared" si="60"/>
        <v>0.17151491750788189</v>
      </c>
      <c r="R180" s="347"/>
    </row>
    <row r="181" spans="1:18" s="176" customFormat="1">
      <c r="A181" s="10"/>
      <c r="B181" s="14" t="s">
        <v>509</v>
      </c>
      <c r="C181" s="10" t="s">
        <v>510</v>
      </c>
      <c r="D181" s="25" t="s">
        <v>409</v>
      </c>
      <c r="E181" s="9" t="s">
        <v>511</v>
      </c>
      <c r="F181" s="216">
        <v>608017000</v>
      </c>
      <c r="G181" s="218">
        <v>138143307</v>
      </c>
      <c r="H181" s="218">
        <v>138143307</v>
      </c>
      <c r="I181" s="218">
        <v>746160307</v>
      </c>
      <c r="J181" s="218">
        <v>746160307</v>
      </c>
      <c r="K181" s="218">
        <v>148226238</v>
      </c>
      <c r="L181" s="218">
        <v>718669263</v>
      </c>
      <c r="M181" s="218">
        <v>7170262</v>
      </c>
      <c r="N181" s="218">
        <v>235195347</v>
      </c>
      <c r="O181" s="219">
        <v>0.96319999999999995</v>
      </c>
      <c r="P181" s="8">
        <v>843694819</v>
      </c>
      <c r="Q181" s="183">
        <f t="shared" si="60"/>
        <v>0.11560401913526507</v>
      </c>
      <c r="R181" s="347">
        <v>843694819</v>
      </c>
    </row>
    <row r="182" spans="1:18" s="176" customFormat="1">
      <c r="A182" s="10"/>
      <c r="B182" s="14" t="s">
        <v>512</v>
      </c>
      <c r="C182" s="10" t="s">
        <v>513</v>
      </c>
      <c r="D182" s="25" t="s">
        <v>413</v>
      </c>
      <c r="E182" s="9" t="s">
        <v>514</v>
      </c>
      <c r="F182" s="216">
        <v>117545000</v>
      </c>
      <c r="G182" s="218">
        <v>24000254</v>
      </c>
      <c r="H182" s="218">
        <v>24000254</v>
      </c>
      <c r="I182" s="218">
        <v>141545254</v>
      </c>
      <c r="J182" s="218">
        <v>117545000</v>
      </c>
      <c r="K182" s="218">
        <v>179355</v>
      </c>
      <c r="L182" s="218">
        <v>102896730</v>
      </c>
      <c r="M182" s="218">
        <v>3393578</v>
      </c>
      <c r="N182" s="218">
        <v>78802911</v>
      </c>
      <c r="O182" s="219">
        <v>0.72699999999999998</v>
      </c>
      <c r="P182" s="8">
        <f>51949812+130007730</f>
        <v>181957542</v>
      </c>
      <c r="Q182" s="183">
        <f t="shared" si="60"/>
        <v>0.22209735060061428</v>
      </c>
      <c r="R182" s="347">
        <f>51949812+130007730</f>
        <v>181957542</v>
      </c>
    </row>
    <row r="183" spans="1:18" s="176" customFormat="1">
      <c r="A183" s="10"/>
      <c r="B183" s="14" t="s">
        <v>515</v>
      </c>
      <c r="C183" s="10" t="s">
        <v>516</v>
      </c>
      <c r="D183" s="25" t="s">
        <v>419</v>
      </c>
      <c r="E183" s="9" t="s">
        <v>517</v>
      </c>
      <c r="F183" s="216">
        <v>240374000</v>
      </c>
      <c r="G183" s="218">
        <v>5679397</v>
      </c>
      <c r="H183" s="218">
        <v>73703515</v>
      </c>
      <c r="I183" s="218">
        <v>314077515</v>
      </c>
      <c r="J183" s="218">
        <v>314077515</v>
      </c>
      <c r="K183" s="218">
        <v>5422729</v>
      </c>
      <c r="L183" s="218">
        <v>253882981</v>
      </c>
      <c r="M183" s="217" t="s">
        <v>113</v>
      </c>
      <c r="N183" s="218">
        <v>75125368</v>
      </c>
      <c r="O183" s="219">
        <v>0.80830000000000002</v>
      </c>
      <c r="P183" s="8">
        <v>359100100</v>
      </c>
      <c r="Q183" s="183">
        <f t="shared" si="60"/>
        <v>0.12537614163850136</v>
      </c>
      <c r="R183" s="347">
        <v>359100100</v>
      </c>
    </row>
    <row r="184" spans="1:18" s="176" customFormat="1">
      <c r="A184" s="10"/>
      <c r="B184" s="14" t="s">
        <v>518</v>
      </c>
      <c r="C184" s="10" t="s">
        <v>519</v>
      </c>
      <c r="D184" s="25" t="s">
        <v>423</v>
      </c>
      <c r="E184" s="9" t="s">
        <v>520</v>
      </c>
      <c r="F184" s="216">
        <v>3226000</v>
      </c>
      <c r="G184" s="217" t="s">
        <v>48</v>
      </c>
      <c r="H184" s="217" t="s">
        <v>48</v>
      </c>
      <c r="I184" s="218">
        <v>3226000</v>
      </c>
      <c r="J184" s="218">
        <v>3226000</v>
      </c>
      <c r="K184" s="217" t="s">
        <v>112</v>
      </c>
      <c r="L184" s="218">
        <v>2854337</v>
      </c>
      <c r="M184" s="217" t="s">
        <v>113</v>
      </c>
      <c r="N184" s="217" t="s">
        <v>114</v>
      </c>
      <c r="O184" s="219">
        <v>0.88480000000000003</v>
      </c>
      <c r="P184" s="8"/>
      <c r="Q184" s="183" t="e">
        <f t="shared" si="60"/>
        <v>#DIV/0!</v>
      </c>
      <c r="R184" s="347"/>
    </row>
    <row r="185" spans="1:18" s="166" customFormat="1">
      <c r="A185" s="11"/>
      <c r="B185" s="16"/>
      <c r="C185" s="12" t="s">
        <v>521</v>
      </c>
      <c r="D185" s="24"/>
      <c r="E185" s="11" t="s">
        <v>522</v>
      </c>
      <c r="F185" s="211">
        <v>247222000</v>
      </c>
      <c r="G185" s="213">
        <v>9648068</v>
      </c>
      <c r="H185" s="213">
        <v>20237221</v>
      </c>
      <c r="I185" s="213">
        <v>267459221</v>
      </c>
      <c r="J185" s="213">
        <v>256721352</v>
      </c>
      <c r="K185" s="213">
        <v>-929066</v>
      </c>
      <c r="L185" s="213">
        <v>224244060</v>
      </c>
      <c r="M185" s="213">
        <v>8584471</v>
      </c>
      <c r="N185" s="213">
        <v>116538527</v>
      </c>
      <c r="O185" s="214">
        <v>0.83840000000000003</v>
      </c>
      <c r="P185" s="13">
        <f t="shared" ref="G185:P185" si="68">SUM(P186:P191)</f>
        <v>260877452</v>
      </c>
      <c r="Q185" s="183">
        <f t="shared" si="60"/>
        <v>-2.5229351749418344E-2</v>
      </c>
      <c r="R185" s="349">
        <f>SUM(R186:R191)</f>
        <v>260877452</v>
      </c>
    </row>
    <row r="186" spans="1:18" s="176" customFormat="1">
      <c r="A186" s="10"/>
      <c r="B186" s="14" t="s">
        <v>523</v>
      </c>
      <c r="C186" s="10" t="s">
        <v>524</v>
      </c>
      <c r="D186" s="25" t="s">
        <v>393</v>
      </c>
      <c r="E186" s="9" t="s">
        <v>525</v>
      </c>
      <c r="F186" s="216">
        <v>51783000</v>
      </c>
      <c r="G186" s="217" t="s">
        <v>48</v>
      </c>
      <c r="H186" s="218">
        <v>6700000</v>
      </c>
      <c r="I186" s="218">
        <v>58483000</v>
      </c>
      <c r="J186" s="218">
        <v>58483000</v>
      </c>
      <c r="K186" s="218">
        <v>-3568516</v>
      </c>
      <c r="L186" s="218">
        <v>43536269</v>
      </c>
      <c r="M186" s="218">
        <v>1943276</v>
      </c>
      <c r="N186" s="218">
        <v>24225807</v>
      </c>
      <c r="O186" s="219">
        <v>0.74439999999999995</v>
      </c>
      <c r="P186" s="8">
        <v>68479638</v>
      </c>
      <c r="Q186" s="183">
        <f t="shared" si="60"/>
        <v>0.14597971443715868</v>
      </c>
      <c r="R186" s="347">
        <v>68479638</v>
      </c>
    </row>
    <row r="187" spans="1:18" s="176" customFormat="1">
      <c r="A187" s="10"/>
      <c r="B187" s="14" t="s">
        <v>526</v>
      </c>
      <c r="C187" s="10" t="s">
        <v>527</v>
      </c>
      <c r="D187" s="25" t="s">
        <v>397</v>
      </c>
      <c r="E187" s="9" t="s">
        <v>528</v>
      </c>
      <c r="F187" s="216">
        <v>132067000</v>
      </c>
      <c r="G187" s="217" t="s">
        <v>48</v>
      </c>
      <c r="H187" s="217" t="s">
        <v>48</v>
      </c>
      <c r="I187" s="218">
        <v>132067000</v>
      </c>
      <c r="J187" s="218">
        <v>132067000</v>
      </c>
      <c r="K187" s="218">
        <v>-340574</v>
      </c>
      <c r="L187" s="218">
        <v>117909062</v>
      </c>
      <c r="M187" s="218">
        <v>781317</v>
      </c>
      <c r="N187" s="218">
        <v>56023676</v>
      </c>
      <c r="O187" s="219">
        <v>0.89280000000000004</v>
      </c>
      <c r="P187" s="8">
        <v>151456867</v>
      </c>
      <c r="Q187" s="183">
        <f t="shared" si="60"/>
        <v>0.12802236956347446</v>
      </c>
      <c r="R187" s="347">
        <v>151456867</v>
      </c>
    </row>
    <row r="188" spans="1:18" s="176" customFormat="1">
      <c r="A188" s="10"/>
      <c r="B188" s="14" t="s">
        <v>529</v>
      </c>
      <c r="C188" s="10" t="s">
        <v>530</v>
      </c>
      <c r="D188" s="25" t="s">
        <v>401</v>
      </c>
      <c r="E188" s="9" t="s">
        <v>531</v>
      </c>
      <c r="F188" s="216">
        <v>10620000</v>
      </c>
      <c r="G188" s="217" t="s">
        <v>48</v>
      </c>
      <c r="H188" s="217" t="s">
        <v>48</v>
      </c>
      <c r="I188" s="218">
        <v>10620000</v>
      </c>
      <c r="J188" s="218">
        <v>9826690</v>
      </c>
      <c r="K188" s="218">
        <v>-200337</v>
      </c>
      <c r="L188" s="218">
        <v>9626353</v>
      </c>
      <c r="M188" s="218">
        <v>1652786</v>
      </c>
      <c r="N188" s="218">
        <v>5319092</v>
      </c>
      <c r="O188" s="219">
        <v>0.90639999999999998</v>
      </c>
      <c r="P188" s="8">
        <v>11775268</v>
      </c>
      <c r="Q188" s="183">
        <f t="shared" si="60"/>
        <v>9.8109699074365023E-2</v>
      </c>
      <c r="R188" s="347">
        <v>11775268</v>
      </c>
    </row>
    <row r="189" spans="1:18" s="176" customFormat="1">
      <c r="A189" s="10"/>
      <c r="B189" s="14" t="s">
        <v>532</v>
      </c>
      <c r="C189" s="10" t="s">
        <v>533</v>
      </c>
      <c r="D189" s="25" t="s">
        <v>405</v>
      </c>
      <c r="E189" s="9" t="s">
        <v>534</v>
      </c>
      <c r="F189" s="216">
        <v>34116000</v>
      </c>
      <c r="G189" s="218">
        <v>8972226</v>
      </c>
      <c r="H189" s="218">
        <v>11972226</v>
      </c>
      <c r="I189" s="218">
        <v>46088226</v>
      </c>
      <c r="J189" s="218">
        <v>37116000</v>
      </c>
      <c r="K189" s="218">
        <v>2303884</v>
      </c>
      <c r="L189" s="218">
        <v>34043714</v>
      </c>
      <c r="M189" s="218">
        <v>601013</v>
      </c>
      <c r="N189" s="218">
        <v>16544216</v>
      </c>
      <c r="O189" s="219">
        <v>0.73870000000000002</v>
      </c>
      <c r="P189" s="8"/>
      <c r="Q189" s="183" t="e">
        <f t="shared" si="60"/>
        <v>#DIV/0!</v>
      </c>
      <c r="R189" s="347"/>
    </row>
    <row r="190" spans="1:18" s="176" customFormat="1">
      <c r="A190" s="10"/>
      <c r="B190" s="14" t="s">
        <v>535</v>
      </c>
      <c r="C190" s="10" t="s">
        <v>536</v>
      </c>
      <c r="D190" s="25" t="s">
        <v>409</v>
      </c>
      <c r="E190" s="9" t="s">
        <v>537</v>
      </c>
      <c r="F190" s="216">
        <v>18636000</v>
      </c>
      <c r="G190" s="218">
        <v>675842</v>
      </c>
      <c r="H190" s="218">
        <v>1564995</v>
      </c>
      <c r="I190" s="218">
        <v>20200995</v>
      </c>
      <c r="J190" s="218">
        <v>19228662</v>
      </c>
      <c r="K190" s="218">
        <v>876477</v>
      </c>
      <c r="L190" s="218">
        <v>19128662</v>
      </c>
      <c r="M190" s="218">
        <v>3606079</v>
      </c>
      <c r="N190" s="218">
        <v>14425736</v>
      </c>
      <c r="O190" s="219">
        <v>0.94689999999999996</v>
      </c>
      <c r="P190" s="8">
        <v>29165679</v>
      </c>
      <c r="Q190" s="183">
        <f t="shared" si="60"/>
        <v>0.30737100274607015</v>
      </c>
      <c r="R190" s="347">
        <v>29165679</v>
      </c>
    </row>
    <row r="191" spans="1:18" s="176" customFormat="1">
      <c r="A191" s="10"/>
      <c r="B191" s="14"/>
      <c r="C191" s="10" t="s">
        <v>538</v>
      </c>
      <c r="D191" s="25" t="s">
        <v>419</v>
      </c>
      <c r="E191" s="9" t="s">
        <v>539</v>
      </c>
      <c r="F191" s="215" t="s">
        <v>304</v>
      </c>
      <c r="G191" s="217" t="s">
        <v>48</v>
      </c>
      <c r="H191" s="217" t="s">
        <v>48</v>
      </c>
      <c r="I191" s="217" t="s">
        <v>304</v>
      </c>
      <c r="J191" s="217" t="s">
        <v>305</v>
      </c>
      <c r="K191" s="217" t="s">
        <v>112</v>
      </c>
      <c r="L191" s="217" t="s">
        <v>112</v>
      </c>
      <c r="M191" s="217" t="s">
        <v>113</v>
      </c>
      <c r="N191" s="217" t="s">
        <v>114</v>
      </c>
      <c r="O191" s="219">
        <v>0</v>
      </c>
      <c r="P191" s="8">
        <v>0</v>
      </c>
      <c r="Q191" s="183" t="e">
        <f t="shared" si="60"/>
        <v>#VALUE!</v>
      </c>
      <c r="R191" s="347">
        <v>0</v>
      </c>
    </row>
    <row r="192" spans="1:18" s="166" customFormat="1">
      <c r="A192" s="32" t="s">
        <v>540</v>
      </c>
      <c r="B192" s="81" t="s">
        <v>541</v>
      </c>
      <c r="C192" s="82" t="s">
        <v>542</v>
      </c>
      <c r="D192" s="31"/>
      <c r="E192" s="32" t="s">
        <v>118</v>
      </c>
      <c r="F192" s="229">
        <v>2045720000</v>
      </c>
      <c r="G192" s="230">
        <v>380105105</v>
      </c>
      <c r="H192" s="230">
        <v>770158478</v>
      </c>
      <c r="I192" s="230">
        <v>2815878478</v>
      </c>
      <c r="J192" s="230">
        <v>2766630459</v>
      </c>
      <c r="K192" s="230">
        <v>189096735</v>
      </c>
      <c r="L192" s="230">
        <v>2498125790</v>
      </c>
      <c r="M192" s="230">
        <v>38448729</v>
      </c>
      <c r="N192" s="230">
        <v>987500851</v>
      </c>
      <c r="O192" s="231">
        <v>0.88719999999999999</v>
      </c>
      <c r="P192" s="83">
        <f t="shared" ref="G192:P192" si="69">+P193+P202</f>
        <v>3237015332.9000001</v>
      </c>
      <c r="Q192" s="183">
        <f t="shared" si="60"/>
        <v>0.13010035838251932</v>
      </c>
      <c r="R192" s="351">
        <f>+R193+R202</f>
        <v>2622191353</v>
      </c>
    </row>
    <row r="193" spans="1:18" s="166" customFormat="1">
      <c r="A193" s="11"/>
      <c r="B193" s="16"/>
      <c r="C193" s="12" t="s">
        <v>543</v>
      </c>
      <c r="D193" s="24"/>
      <c r="E193" s="11" t="s">
        <v>544</v>
      </c>
      <c r="F193" s="211">
        <v>1908712000</v>
      </c>
      <c r="G193" s="213">
        <v>374061146</v>
      </c>
      <c r="H193" s="213">
        <v>751416437</v>
      </c>
      <c r="I193" s="213">
        <v>2660128437</v>
      </c>
      <c r="J193" s="213">
        <v>2616549749</v>
      </c>
      <c r="K193" s="213">
        <v>189683579</v>
      </c>
      <c r="L193" s="213">
        <v>2364278518</v>
      </c>
      <c r="M193" s="213">
        <v>33026343</v>
      </c>
      <c r="N193" s="213">
        <v>921624212</v>
      </c>
      <c r="O193" s="214">
        <v>0.88880000000000003</v>
      </c>
      <c r="P193" s="13">
        <f t="shared" ref="G193:P193" si="70">SUM(P194:P201)</f>
        <v>3072231889.9000001</v>
      </c>
      <c r="Q193" s="183">
        <f t="shared" si="60"/>
        <v>0.13413813399138105</v>
      </c>
      <c r="R193" s="349">
        <f>SUM(R194:R201)</f>
        <v>2457407910</v>
      </c>
    </row>
    <row r="194" spans="1:18" s="167" customFormat="1">
      <c r="A194" s="10"/>
      <c r="B194" s="14" t="s">
        <v>545</v>
      </c>
      <c r="C194" s="10" t="s">
        <v>546</v>
      </c>
      <c r="D194" s="25" t="s">
        <v>393</v>
      </c>
      <c r="E194" s="9" t="s">
        <v>547</v>
      </c>
      <c r="F194" s="216">
        <v>339926000</v>
      </c>
      <c r="G194" s="218">
        <v>6534822</v>
      </c>
      <c r="H194" s="218">
        <v>109165886</v>
      </c>
      <c r="I194" s="218">
        <v>449091886</v>
      </c>
      <c r="J194" s="218">
        <v>442557064</v>
      </c>
      <c r="K194" s="218">
        <v>2720066</v>
      </c>
      <c r="L194" s="218">
        <v>419852312</v>
      </c>
      <c r="M194" s="218">
        <v>159997</v>
      </c>
      <c r="N194" s="218">
        <v>139880903</v>
      </c>
      <c r="O194" s="219">
        <v>0.93489999999999995</v>
      </c>
      <c r="P194" s="8">
        <v>506467187</v>
      </c>
      <c r="Q194" s="183">
        <f t="shared" si="60"/>
        <v>0.11328532720916429</v>
      </c>
      <c r="R194" s="347">
        <v>506467187</v>
      </c>
    </row>
    <row r="195" spans="1:18" s="167" customFormat="1">
      <c r="A195" s="10"/>
      <c r="B195" s="14" t="s">
        <v>548</v>
      </c>
      <c r="C195" s="10" t="s">
        <v>549</v>
      </c>
      <c r="D195" s="25" t="s">
        <v>397</v>
      </c>
      <c r="E195" s="9" t="s">
        <v>550</v>
      </c>
      <c r="F195" s="216">
        <v>404111000</v>
      </c>
      <c r="G195" s="218">
        <v>119791291</v>
      </c>
      <c r="H195" s="218">
        <v>192940591</v>
      </c>
      <c r="I195" s="218">
        <v>597051591</v>
      </c>
      <c r="J195" s="218">
        <v>597051591</v>
      </c>
      <c r="K195" s="218">
        <v>2315047</v>
      </c>
      <c r="L195" s="218">
        <v>464230104</v>
      </c>
      <c r="M195" s="218">
        <v>2395914</v>
      </c>
      <c r="N195" s="218">
        <v>215779677</v>
      </c>
      <c r="O195" s="219">
        <v>0.77749999999999997</v>
      </c>
      <c r="P195" s="8">
        <v>689075600</v>
      </c>
      <c r="Q195" s="183">
        <f t="shared" si="60"/>
        <v>0.13354704331426043</v>
      </c>
      <c r="R195" s="347">
        <v>689075600</v>
      </c>
    </row>
    <row r="196" spans="1:18" s="167" customFormat="1">
      <c r="A196" s="10"/>
      <c r="B196" s="14" t="s">
        <v>551</v>
      </c>
      <c r="C196" s="10" t="s">
        <v>552</v>
      </c>
      <c r="D196" s="25" t="s">
        <v>401</v>
      </c>
      <c r="E196" s="9" t="s">
        <v>553</v>
      </c>
      <c r="F196" s="216">
        <v>232052000</v>
      </c>
      <c r="G196" s="218">
        <v>70769923</v>
      </c>
      <c r="H196" s="218">
        <v>101457539</v>
      </c>
      <c r="I196" s="218">
        <v>333509539</v>
      </c>
      <c r="J196" s="218">
        <v>333509539</v>
      </c>
      <c r="K196" s="218">
        <v>52997719</v>
      </c>
      <c r="L196" s="218">
        <v>315691665</v>
      </c>
      <c r="M196" s="218">
        <v>23654672</v>
      </c>
      <c r="N196" s="218">
        <v>158119273</v>
      </c>
      <c r="O196" s="219">
        <v>0.9466</v>
      </c>
      <c r="P196" s="8">
        <v>372971086</v>
      </c>
      <c r="Q196" s="183">
        <f t="shared" si="60"/>
        <v>0.10580323376595471</v>
      </c>
      <c r="R196" s="347">
        <v>372971086</v>
      </c>
    </row>
    <row r="197" spans="1:18" s="167" customFormat="1">
      <c r="A197" s="10"/>
      <c r="B197" s="14" t="s">
        <v>554</v>
      </c>
      <c r="C197" s="10" t="s">
        <v>555</v>
      </c>
      <c r="D197" s="25" t="s">
        <v>405</v>
      </c>
      <c r="E197" s="9" t="s">
        <v>556</v>
      </c>
      <c r="F197" s="216">
        <v>389231000</v>
      </c>
      <c r="G197" s="218">
        <v>13477825</v>
      </c>
      <c r="H197" s="218">
        <v>122671648</v>
      </c>
      <c r="I197" s="218">
        <v>511902648</v>
      </c>
      <c r="J197" s="218">
        <v>498424823</v>
      </c>
      <c r="K197" s="218">
        <v>-815760</v>
      </c>
      <c r="L197" s="218">
        <v>473894418</v>
      </c>
      <c r="M197" s="218">
        <v>143103</v>
      </c>
      <c r="N197" s="218">
        <v>177322715</v>
      </c>
      <c r="O197" s="219">
        <v>0.92579999999999996</v>
      </c>
      <c r="P197" s="8">
        <v>614823979.89999998</v>
      </c>
      <c r="Q197" s="183">
        <f t="shared" si="60"/>
        <v>0.16739967090538652</v>
      </c>
      <c r="R197" s="347"/>
    </row>
    <row r="198" spans="1:18" s="167" customFormat="1">
      <c r="A198" s="10"/>
      <c r="B198" s="14" t="s">
        <v>557</v>
      </c>
      <c r="C198" s="10" t="s">
        <v>558</v>
      </c>
      <c r="D198" s="25" t="s">
        <v>409</v>
      </c>
      <c r="E198" s="9" t="s">
        <v>559</v>
      </c>
      <c r="F198" s="216">
        <v>340497000</v>
      </c>
      <c r="G198" s="218">
        <v>136594936</v>
      </c>
      <c r="H198" s="218">
        <v>136594936</v>
      </c>
      <c r="I198" s="218">
        <v>477091936</v>
      </c>
      <c r="J198" s="218">
        <v>477091936</v>
      </c>
      <c r="K198" s="218">
        <v>128927946</v>
      </c>
      <c r="L198" s="218">
        <v>459741675</v>
      </c>
      <c r="M198" s="218">
        <v>4529099</v>
      </c>
      <c r="N198" s="218">
        <v>132223119</v>
      </c>
      <c r="O198" s="219">
        <v>0.96360000000000001</v>
      </c>
      <c r="P198" s="8">
        <v>541715390</v>
      </c>
      <c r="Q198" s="183">
        <f t="shared" si="60"/>
        <v>0.11929410755710669</v>
      </c>
      <c r="R198" s="347">
        <v>541715390</v>
      </c>
    </row>
    <row r="199" spans="1:18" s="167" customFormat="1">
      <c r="A199" s="10"/>
      <c r="B199" s="14" t="s">
        <v>560</v>
      </c>
      <c r="C199" s="10" t="s">
        <v>561</v>
      </c>
      <c r="D199" s="25" t="s">
        <v>413</v>
      </c>
      <c r="E199" s="9" t="s">
        <v>562</v>
      </c>
      <c r="F199" s="216">
        <v>65831000</v>
      </c>
      <c r="G199" s="218">
        <v>23566041</v>
      </c>
      <c r="H199" s="218">
        <v>23566041</v>
      </c>
      <c r="I199" s="218">
        <v>89397041</v>
      </c>
      <c r="J199" s="218">
        <v>65831000</v>
      </c>
      <c r="K199" s="218">
        <v>113290</v>
      </c>
      <c r="L199" s="218">
        <v>64989376</v>
      </c>
      <c r="M199" s="218">
        <v>2143558</v>
      </c>
      <c r="N199" s="218">
        <v>49781727</v>
      </c>
      <c r="O199" s="219">
        <v>0.72699999999999998</v>
      </c>
      <c r="P199" s="8">
        <f>32810418+82110186</f>
        <v>114920604</v>
      </c>
      <c r="Q199" s="183">
        <f t="shared" si="60"/>
        <v>0.22209736210575434</v>
      </c>
      <c r="R199" s="347">
        <f>32810418+82110186</f>
        <v>114920604</v>
      </c>
    </row>
    <row r="200" spans="1:18" s="167" customFormat="1">
      <c r="A200" s="10"/>
      <c r="B200" s="14" t="s">
        <v>563</v>
      </c>
      <c r="C200" s="10" t="s">
        <v>564</v>
      </c>
      <c r="D200" s="25" t="s">
        <v>419</v>
      </c>
      <c r="E200" s="9" t="s">
        <v>565</v>
      </c>
      <c r="F200" s="216">
        <v>135257000</v>
      </c>
      <c r="G200" s="218">
        <v>3326308</v>
      </c>
      <c r="H200" s="218">
        <v>65019796</v>
      </c>
      <c r="I200" s="218">
        <v>200276796</v>
      </c>
      <c r="J200" s="218">
        <v>200276796</v>
      </c>
      <c r="K200" s="218">
        <v>3425271</v>
      </c>
      <c r="L200" s="218">
        <v>164076023</v>
      </c>
      <c r="M200" s="217" t="s">
        <v>113</v>
      </c>
      <c r="N200" s="218">
        <v>48516798</v>
      </c>
      <c r="O200" s="219">
        <v>0.81920000000000004</v>
      </c>
      <c r="P200" s="8">
        <v>232258043</v>
      </c>
      <c r="Q200" s="183">
        <f t="shared" si="60"/>
        <v>0.13769704845054601</v>
      </c>
      <c r="R200" s="347">
        <v>232258043</v>
      </c>
    </row>
    <row r="201" spans="1:18" s="167" customFormat="1">
      <c r="A201" s="10"/>
      <c r="B201" s="14" t="s">
        <v>566</v>
      </c>
      <c r="C201" s="10" t="s">
        <v>567</v>
      </c>
      <c r="D201" s="25" t="s">
        <v>423</v>
      </c>
      <c r="E201" s="9" t="s">
        <v>568</v>
      </c>
      <c r="F201" s="216">
        <v>1807000</v>
      </c>
      <c r="G201" s="217" t="s">
        <v>48</v>
      </c>
      <c r="H201" s="217" t="s">
        <v>48</v>
      </c>
      <c r="I201" s="218">
        <v>1807000</v>
      </c>
      <c r="J201" s="218">
        <v>1807000</v>
      </c>
      <c r="K201" s="217" t="s">
        <v>112</v>
      </c>
      <c r="L201" s="218">
        <v>1802945</v>
      </c>
      <c r="M201" s="217" t="s">
        <v>113</v>
      </c>
      <c r="N201" s="217" t="s">
        <v>114</v>
      </c>
      <c r="O201" s="219">
        <v>0.99780000000000002</v>
      </c>
      <c r="P201" s="8"/>
      <c r="Q201" s="183" t="e">
        <f t="shared" si="60"/>
        <v>#DIV/0!</v>
      </c>
      <c r="R201" s="347"/>
    </row>
    <row r="202" spans="1:18" s="166" customFormat="1">
      <c r="A202" s="11"/>
      <c r="B202" s="16"/>
      <c r="C202" s="12" t="s">
        <v>569</v>
      </c>
      <c r="D202" s="24"/>
      <c r="E202" s="11" t="s">
        <v>570</v>
      </c>
      <c r="F202" s="211">
        <v>137008000</v>
      </c>
      <c r="G202" s="213">
        <v>6043959</v>
      </c>
      <c r="H202" s="213">
        <v>18742041</v>
      </c>
      <c r="I202" s="213">
        <v>155750041</v>
      </c>
      <c r="J202" s="213">
        <v>150080710</v>
      </c>
      <c r="K202" s="213">
        <v>-586844</v>
      </c>
      <c r="L202" s="213">
        <v>133847272</v>
      </c>
      <c r="M202" s="213">
        <v>5422386</v>
      </c>
      <c r="N202" s="213">
        <v>65876639</v>
      </c>
      <c r="O202" s="214">
        <v>0.85940000000000005</v>
      </c>
      <c r="P202" s="13">
        <f t="shared" ref="G202:P202" si="71">SUM(P203:P208)</f>
        <v>164783443</v>
      </c>
      <c r="Q202" s="183">
        <f t="shared" si="60"/>
        <v>5.4819840121922932E-2</v>
      </c>
      <c r="R202" s="349">
        <f>SUM(R203:R208)</f>
        <v>164783443</v>
      </c>
    </row>
    <row r="203" spans="1:18" s="167" customFormat="1">
      <c r="A203" s="10"/>
      <c r="B203" s="14" t="s">
        <v>571</v>
      </c>
      <c r="C203" s="10" t="s">
        <v>572</v>
      </c>
      <c r="D203" s="25" t="s">
        <v>393</v>
      </c>
      <c r="E203" s="9" t="s">
        <v>573</v>
      </c>
      <c r="F203" s="216">
        <v>28998000</v>
      </c>
      <c r="G203" s="217" t="s">
        <v>48</v>
      </c>
      <c r="H203" s="218">
        <v>7200000</v>
      </c>
      <c r="I203" s="218">
        <v>36198000</v>
      </c>
      <c r="J203" s="218">
        <v>36198000</v>
      </c>
      <c r="K203" s="218">
        <v>-2254055</v>
      </c>
      <c r="L203" s="218">
        <v>25871721</v>
      </c>
      <c r="M203" s="218">
        <v>1227471</v>
      </c>
      <c r="N203" s="218">
        <v>13705683</v>
      </c>
      <c r="O203" s="219">
        <v>0.7147</v>
      </c>
      <c r="P203" s="8">
        <v>43255220</v>
      </c>
      <c r="Q203" s="183">
        <f t="shared" si="60"/>
        <v>0.16315302523024966</v>
      </c>
      <c r="R203" s="347">
        <v>43255220</v>
      </c>
    </row>
    <row r="204" spans="1:18" s="167" customFormat="1">
      <c r="A204" s="10"/>
      <c r="B204" s="14" t="s">
        <v>574</v>
      </c>
      <c r="C204" s="10" t="s">
        <v>575</v>
      </c>
      <c r="D204" s="25" t="s">
        <v>397</v>
      </c>
      <c r="E204" s="9" t="s">
        <v>576</v>
      </c>
      <c r="F204" s="216">
        <v>73957000</v>
      </c>
      <c r="G204" s="217" t="s">
        <v>48</v>
      </c>
      <c r="H204" s="217" t="s">
        <v>48</v>
      </c>
      <c r="I204" s="218">
        <v>73957000</v>
      </c>
      <c r="J204" s="218">
        <v>73957000</v>
      </c>
      <c r="K204" s="218">
        <v>-215124</v>
      </c>
      <c r="L204" s="218">
        <v>70488960</v>
      </c>
      <c r="M204" s="218">
        <v>493519</v>
      </c>
      <c r="N204" s="218">
        <v>31429231</v>
      </c>
      <c r="O204" s="219">
        <v>0.95309999999999995</v>
      </c>
      <c r="P204" s="8">
        <v>95667841</v>
      </c>
      <c r="Q204" s="183">
        <f t="shared" si="60"/>
        <v>0.22693980310478629</v>
      </c>
      <c r="R204" s="347">
        <v>95667841</v>
      </c>
    </row>
    <row r="205" spans="1:18" s="167" customFormat="1">
      <c r="A205" s="10"/>
      <c r="B205" s="14" t="s">
        <v>577</v>
      </c>
      <c r="C205" s="10" t="s">
        <v>578</v>
      </c>
      <c r="D205" s="25" t="s">
        <v>401</v>
      </c>
      <c r="E205" s="9" t="s">
        <v>579</v>
      </c>
      <c r="F205" s="216">
        <v>5947000</v>
      </c>
      <c r="G205" s="217" t="s">
        <v>48</v>
      </c>
      <c r="H205" s="217" t="s">
        <v>48</v>
      </c>
      <c r="I205" s="218">
        <v>5947000</v>
      </c>
      <c r="J205" s="218">
        <v>5944340</v>
      </c>
      <c r="K205" s="218">
        <v>-126543</v>
      </c>
      <c r="L205" s="218">
        <v>5817797</v>
      </c>
      <c r="M205" s="218">
        <v>1043984</v>
      </c>
      <c r="N205" s="218">
        <v>3097113</v>
      </c>
      <c r="O205" s="219">
        <v>0.97829999999999995</v>
      </c>
      <c r="P205" s="8">
        <v>7437860</v>
      </c>
      <c r="Q205" s="183">
        <f t="shared" si="60"/>
        <v>0.20044206263629594</v>
      </c>
      <c r="R205" s="347">
        <v>7437860</v>
      </c>
    </row>
    <row r="206" spans="1:18" s="167" customFormat="1">
      <c r="A206" s="10"/>
      <c r="B206" s="14" t="s">
        <v>580</v>
      </c>
      <c r="C206" s="10" t="s">
        <v>581</v>
      </c>
      <c r="D206" s="25" t="s">
        <v>405</v>
      </c>
      <c r="E206" s="9" t="s">
        <v>582</v>
      </c>
      <c r="F206" s="216">
        <v>17670000</v>
      </c>
      <c r="G206" s="218">
        <v>5666671</v>
      </c>
      <c r="H206" s="218">
        <v>10666671</v>
      </c>
      <c r="I206" s="218">
        <v>28336671</v>
      </c>
      <c r="J206" s="218">
        <v>22670000</v>
      </c>
      <c r="K206" s="218">
        <v>1455250</v>
      </c>
      <c r="L206" s="218">
        <v>20361396</v>
      </c>
      <c r="M206" s="218">
        <v>379630</v>
      </c>
      <c r="N206" s="218">
        <v>9307823</v>
      </c>
      <c r="O206" s="219">
        <v>0.71860000000000002</v>
      </c>
      <c r="P206" s="8"/>
      <c r="Q206" s="183" t="e">
        <f t="shared" ref="Q206:Q269" si="72">+(P206-I206)/P206</f>
        <v>#DIV/0!</v>
      </c>
      <c r="R206" s="347"/>
    </row>
    <row r="207" spans="1:18" s="167" customFormat="1">
      <c r="A207" s="10"/>
      <c r="B207" s="14" t="s">
        <v>583</v>
      </c>
      <c r="C207" s="10" t="s">
        <v>584</v>
      </c>
      <c r="D207" s="25" t="s">
        <v>409</v>
      </c>
      <c r="E207" s="9" t="s">
        <v>585</v>
      </c>
      <c r="F207" s="216">
        <v>10436000</v>
      </c>
      <c r="G207" s="218">
        <v>377288</v>
      </c>
      <c r="H207" s="218">
        <v>875370</v>
      </c>
      <c r="I207" s="218">
        <v>11311370</v>
      </c>
      <c r="J207" s="218">
        <v>11311370</v>
      </c>
      <c r="K207" s="218">
        <v>553628</v>
      </c>
      <c r="L207" s="218">
        <v>11307398</v>
      </c>
      <c r="M207" s="218">
        <v>2277782</v>
      </c>
      <c r="N207" s="218">
        <v>8336789</v>
      </c>
      <c r="O207" s="219">
        <v>0.99960000000000004</v>
      </c>
      <c r="P207" s="8">
        <v>18422522</v>
      </c>
      <c r="Q207" s="183">
        <f t="shared" si="72"/>
        <v>0.38600317589524386</v>
      </c>
      <c r="R207" s="347">
        <v>18422522</v>
      </c>
    </row>
    <row r="208" spans="1:18" s="167" customFormat="1">
      <c r="A208" s="10"/>
      <c r="B208" s="14"/>
      <c r="C208" s="10" t="s">
        <v>586</v>
      </c>
      <c r="D208" s="25" t="s">
        <v>419</v>
      </c>
      <c r="E208" s="9" t="s">
        <v>587</v>
      </c>
      <c r="F208" s="215" t="s">
        <v>304</v>
      </c>
      <c r="G208" s="217" t="s">
        <v>48</v>
      </c>
      <c r="H208" s="217" t="s">
        <v>48</v>
      </c>
      <c r="I208" s="217" t="s">
        <v>304</v>
      </c>
      <c r="J208" s="217" t="s">
        <v>305</v>
      </c>
      <c r="K208" s="217" t="s">
        <v>112</v>
      </c>
      <c r="L208" s="217" t="s">
        <v>112</v>
      </c>
      <c r="M208" s="217" t="s">
        <v>113</v>
      </c>
      <c r="N208" s="217" t="s">
        <v>114</v>
      </c>
      <c r="O208" s="219">
        <v>0</v>
      </c>
      <c r="P208" s="8">
        <v>0</v>
      </c>
      <c r="Q208" s="183" t="e">
        <f t="shared" si="72"/>
        <v>#VALUE!</v>
      </c>
      <c r="R208" s="347">
        <v>0</v>
      </c>
    </row>
    <row r="209" spans="1:18">
      <c r="A209" s="65" t="s">
        <v>588</v>
      </c>
      <c r="B209" s="65" t="s">
        <v>589</v>
      </c>
      <c r="C209" s="65" t="s">
        <v>590</v>
      </c>
      <c r="D209" s="65"/>
      <c r="E209" s="65" t="s">
        <v>169</v>
      </c>
      <c r="F209" s="198">
        <v>18422761000</v>
      </c>
      <c r="G209" s="200">
        <v>677233606</v>
      </c>
      <c r="H209" s="200">
        <v>2903134793</v>
      </c>
      <c r="I209" s="200">
        <v>21325895793</v>
      </c>
      <c r="J209" s="200">
        <v>19650077846</v>
      </c>
      <c r="K209" s="200">
        <v>1432618785</v>
      </c>
      <c r="L209" s="200">
        <v>12770480147</v>
      </c>
      <c r="M209" s="200">
        <v>1242248180</v>
      </c>
      <c r="N209" s="200">
        <v>10026030563</v>
      </c>
      <c r="O209" s="201">
        <v>0.5988</v>
      </c>
      <c r="P209" s="66">
        <f t="shared" ref="H209:P209" si="73">+P210+P245+P263+P298+P316+P334</f>
        <v>21244695739.400002</v>
      </c>
      <c r="Q209" s="183">
        <f t="shared" si="72"/>
        <v>-3.822133044221783E-3</v>
      </c>
      <c r="R209" s="343">
        <f>+R210+R245+R263+R298+R316+R334</f>
        <v>17718623159</v>
      </c>
    </row>
    <row r="210" spans="1:18">
      <c r="A210" s="67" t="s">
        <v>591</v>
      </c>
      <c r="B210" s="68" t="s">
        <v>592</v>
      </c>
      <c r="C210" s="69" t="s">
        <v>593</v>
      </c>
      <c r="D210" s="70"/>
      <c r="E210" s="27" t="s">
        <v>173</v>
      </c>
      <c r="F210" s="202">
        <v>5781361000</v>
      </c>
      <c r="G210" s="204">
        <v>218834121</v>
      </c>
      <c r="H210" s="204">
        <v>1024168439</v>
      </c>
      <c r="I210" s="204">
        <v>6805529439</v>
      </c>
      <c r="J210" s="204">
        <v>6061832013</v>
      </c>
      <c r="K210" s="204">
        <v>490172097</v>
      </c>
      <c r="L210" s="204">
        <v>3414569168</v>
      </c>
      <c r="M210" s="204">
        <v>490172097</v>
      </c>
      <c r="N210" s="204">
        <v>3414569168</v>
      </c>
      <c r="O210" s="205">
        <v>0.50170000000000003</v>
      </c>
      <c r="P210" s="71">
        <f t="shared" ref="G210:P210" si="74">+P211+P228</f>
        <v>6597753040.3999996</v>
      </c>
      <c r="Q210" s="183">
        <f t="shared" si="72"/>
        <v>-3.1491993914856138E-2</v>
      </c>
      <c r="R210" s="344">
        <f>+R211+R228</f>
        <v>5417290999</v>
      </c>
    </row>
    <row r="211" spans="1:18" s="166" customFormat="1">
      <c r="A211" s="72" t="s">
        <v>594</v>
      </c>
      <c r="B211" s="73" t="s">
        <v>595</v>
      </c>
      <c r="C211" s="74" t="s">
        <v>596</v>
      </c>
      <c r="D211" s="75"/>
      <c r="E211" s="20" t="s">
        <v>177</v>
      </c>
      <c r="F211" s="206">
        <v>3324547000</v>
      </c>
      <c r="G211" s="208">
        <v>86645342</v>
      </c>
      <c r="H211" s="208">
        <v>533404393</v>
      </c>
      <c r="I211" s="208">
        <v>3857951393</v>
      </c>
      <c r="J211" s="208">
        <v>3440217402</v>
      </c>
      <c r="K211" s="208">
        <v>316990220</v>
      </c>
      <c r="L211" s="208">
        <v>1995779819</v>
      </c>
      <c r="M211" s="208">
        <v>316990220</v>
      </c>
      <c r="N211" s="208">
        <v>1995779819</v>
      </c>
      <c r="O211" s="209">
        <v>0.51729999999999998</v>
      </c>
      <c r="P211" s="76">
        <f t="shared" ref="G211:P211" si="75">+P212+P221</f>
        <v>3871047926.8000002</v>
      </c>
      <c r="Q211" s="183">
        <f t="shared" si="72"/>
        <v>3.3832011506058604E-3</v>
      </c>
      <c r="R211" s="345">
        <f>+R212+R221</f>
        <v>3162770702</v>
      </c>
    </row>
    <row r="212" spans="1:18" s="166" customFormat="1">
      <c r="A212" s="11"/>
      <c r="B212" s="16"/>
      <c r="C212" s="12" t="s">
        <v>597</v>
      </c>
      <c r="D212" s="24"/>
      <c r="E212" s="11" t="s">
        <v>598</v>
      </c>
      <c r="F212" s="211">
        <v>3081404000</v>
      </c>
      <c r="G212" s="213">
        <v>69443743</v>
      </c>
      <c r="H212" s="213">
        <v>515202794</v>
      </c>
      <c r="I212" s="213">
        <v>3596606794</v>
      </c>
      <c r="J212" s="213">
        <v>3196074402</v>
      </c>
      <c r="K212" s="213">
        <v>293956020</v>
      </c>
      <c r="L212" s="213">
        <v>1864476269</v>
      </c>
      <c r="M212" s="213">
        <v>293956020</v>
      </c>
      <c r="N212" s="213">
        <v>1864476269</v>
      </c>
      <c r="O212" s="214">
        <v>0.51839999999999997</v>
      </c>
      <c r="P212" s="13">
        <f t="shared" ref="G212:P212" si="76">SUM(P213:P220)</f>
        <v>3618348274.8000002</v>
      </c>
      <c r="Q212" s="183">
        <f t="shared" si="72"/>
        <v>6.0086755471878738E-3</v>
      </c>
      <c r="R212" s="349">
        <f>SUM(R213:R220)</f>
        <v>2910071050</v>
      </c>
    </row>
    <row r="213" spans="1:18" s="167" customFormat="1">
      <c r="A213" s="10"/>
      <c r="B213" s="14" t="s">
        <v>599</v>
      </c>
      <c r="C213" s="10" t="s">
        <v>600</v>
      </c>
      <c r="D213" s="25" t="s">
        <v>393</v>
      </c>
      <c r="E213" s="9" t="s">
        <v>601</v>
      </c>
      <c r="F213" s="216">
        <v>532733000</v>
      </c>
      <c r="G213" s="217" t="s">
        <v>48</v>
      </c>
      <c r="H213" s="218">
        <v>40960308</v>
      </c>
      <c r="I213" s="218">
        <v>573693308</v>
      </c>
      <c r="J213" s="218">
        <v>573693308</v>
      </c>
      <c r="K213" s="218">
        <v>58311100</v>
      </c>
      <c r="L213" s="218">
        <v>323380552</v>
      </c>
      <c r="M213" s="218">
        <v>58311100</v>
      </c>
      <c r="N213" s="218">
        <v>323380552</v>
      </c>
      <c r="O213" s="219">
        <v>0.56369999999999998</v>
      </c>
      <c r="P213" s="8">
        <v>644762015</v>
      </c>
      <c r="Q213" s="183">
        <f t="shared" si="72"/>
        <v>0.11022471136113687</v>
      </c>
      <c r="R213" s="347">
        <v>644762015</v>
      </c>
    </row>
    <row r="214" spans="1:18" s="167" customFormat="1">
      <c r="A214" s="10"/>
      <c r="B214" s="14" t="s">
        <v>602</v>
      </c>
      <c r="C214" s="10" t="s">
        <v>603</v>
      </c>
      <c r="D214" s="25" t="s">
        <v>397</v>
      </c>
      <c r="E214" s="9" t="s">
        <v>604</v>
      </c>
      <c r="F214" s="216">
        <v>668400000</v>
      </c>
      <c r="G214" s="218">
        <v>37747744</v>
      </c>
      <c r="H214" s="218">
        <v>164988049</v>
      </c>
      <c r="I214" s="218">
        <v>833388049</v>
      </c>
      <c r="J214" s="218">
        <v>833388049</v>
      </c>
      <c r="K214" s="218">
        <v>73350196</v>
      </c>
      <c r="L214" s="218">
        <v>435657487</v>
      </c>
      <c r="M214" s="218">
        <v>73350196</v>
      </c>
      <c r="N214" s="218">
        <v>435657487</v>
      </c>
      <c r="O214" s="219">
        <v>0.52280000000000004</v>
      </c>
      <c r="P214" s="8">
        <v>874393557</v>
      </c>
      <c r="Q214" s="183">
        <f t="shared" si="72"/>
        <v>4.689594024536025E-2</v>
      </c>
      <c r="R214" s="347">
        <v>874393557</v>
      </c>
    </row>
    <row r="215" spans="1:18" s="167" customFormat="1">
      <c r="A215" s="10"/>
      <c r="B215" s="14" t="s">
        <v>605</v>
      </c>
      <c r="C215" s="10" t="s">
        <v>606</v>
      </c>
      <c r="D215" s="25" t="s">
        <v>401</v>
      </c>
      <c r="E215" s="9" t="s">
        <v>607</v>
      </c>
      <c r="F215" s="216">
        <v>335647000</v>
      </c>
      <c r="G215" s="217" t="s">
        <v>48</v>
      </c>
      <c r="H215" s="218">
        <v>50000000</v>
      </c>
      <c r="I215" s="218">
        <v>385647000</v>
      </c>
      <c r="J215" s="218">
        <v>335647000</v>
      </c>
      <c r="K215" s="218">
        <v>38965269</v>
      </c>
      <c r="L215" s="218">
        <v>242712717</v>
      </c>
      <c r="M215" s="218">
        <v>38965269</v>
      </c>
      <c r="N215" s="218">
        <v>242712717</v>
      </c>
      <c r="O215" s="219">
        <v>0.62939999999999996</v>
      </c>
      <c r="P215" s="8">
        <v>416870494</v>
      </c>
      <c r="Q215" s="183">
        <f t="shared" si="72"/>
        <v>7.4899745722948677E-2</v>
      </c>
      <c r="R215" s="347">
        <v>416870494</v>
      </c>
    </row>
    <row r="216" spans="1:18" s="167" customFormat="1">
      <c r="A216" s="10"/>
      <c r="B216" s="14" t="s">
        <v>608</v>
      </c>
      <c r="C216" s="10" t="s">
        <v>609</v>
      </c>
      <c r="D216" s="25" t="s">
        <v>405</v>
      </c>
      <c r="E216" s="9" t="s">
        <v>610</v>
      </c>
      <c r="F216" s="216">
        <v>682971000</v>
      </c>
      <c r="G216" s="218">
        <v>17467247</v>
      </c>
      <c r="H216" s="218">
        <v>145246530</v>
      </c>
      <c r="I216" s="218">
        <v>828217530</v>
      </c>
      <c r="J216" s="218">
        <v>682971000</v>
      </c>
      <c r="K216" s="218">
        <v>61630737</v>
      </c>
      <c r="L216" s="218">
        <v>364746773</v>
      </c>
      <c r="M216" s="218">
        <v>61630737</v>
      </c>
      <c r="N216" s="218">
        <v>364746773</v>
      </c>
      <c r="O216" s="219">
        <v>0.44040000000000001</v>
      </c>
      <c r="P216" s="8">
        <v>708277224.79999995</v>
      </c>
      <c r="Q216" s="183">
        <f t="shared" si="72"/>
        <v>-0.16934090353373743</v>
      </c>
      <c r="R216" s="347"/>
    </row>
    <row r="217" spans="1:18" s="167" customFormat="1">
      <c r="A217" s="10"/>
      <c r="B217" s="14" t="s">
        <v>611</v>
      </c>
      <c r="C217" s="10" t="s">
        <v>612</v>
      </c>
      <c r="D217" s="25" t="s">
        <v>409</v>
      </c>
      <c r="E217" s="9" t="s">
        <v>613</v>
      </c>
      <c r="F217" s="216">
        <v>574472000</v>
      </c>
      <c r="G217" s="218">
        <v>10054420</v>
      </c>
      <c r="H217" s="218">
        <v>2665476</v>
      </c>
      <c r="I217" s="218">
        <v>577137476</v>
      </c>
      <c r="J217" s="218">
        <v>567083056</v>
      </c>
      <c r="K217" s="218">
        <v>31173950</v>
      </c>
      <c r="L217" s="218">
        <v>315786889</v>
      </c>
      <c r="M217" s="218">
        <v>31173950</v>
      </c>
      <c r="N217" s="218">
        <v>315786889</v>
      </c>
      <c r="O217" s="219">
        <v>0.54720000000000002</v>
      </c>
      <c r="P217" s="8">
        <v>665720421</v>
      </c>
      <c r="Q217" s="183">
        <f t="shared" si="72"/>
        <v>0.13306328333286924</v>
      </c>
      <c r="R217" s="347">
        <v>665720421</v>
      </c>
    </row>
    <row r="218" spans="1:18" s="167" customFormat="1">
      <c r="A218" s="10"/>
      <c r="B218" s="14" t="s">
        <v>614</v>
      </c>
      <c r="C218" s="10" t="s">
        <v>615</v>
      </c>
      <c r="D218" s="25" t="s">
        <v>413</v>
      </c>
      <c r="E218" s="9" t="s">
        <v>616</v>
      </c>
      <c r="F218" s="216">
        <v>73121000</v>
      </c>
      <c r="G218" s="218">
        <v>4174332</v>
      </c>
      <c r="H218" s="218">
        <v>4174332</v>
      </c>
      <c r="I218" s="218">
        <v>77295332</v>
      </c>
      <c r="J218" s="218">
        <v>73121000</v>
      </c>
      <c r="K218" s="218">
        <v>6752046</v>
      </c>
      <c r="L218" s="218">
        <v>56549812</v>
      </c>
      <c r="M218" s="218">
        <v>6752046</v>
      </c>
      <c r="N218" s="218">
        <v>56549812</v>
      </c>
      <c r="O218" s="219">
        <v>0.73160000000000003</v>
      </c>
      <c r="P218" s="8">
        <v>70870452</v>
      </c>
      <c r="Q218" s="183">
        <f t="shared" si="72"/>
        <v>-9.0656681574431047E-2</v>
      </c>
      <c r="R218" s="347">
        <v>70870452</v>
      </c>
    </row>
    <row r="219" spans="1:18" s="167" customFormat="1">
      <c r="A219" s="10"/>
      <c r="B219" s="14" t="s">
        <v>617</v>
      </c>
      <c r="C219" s="10" t="s">
        <v>618</v>
      </c>
      <c r="D219" s="25" t="s">
        <v>419</v>
      </c>
      <c r="E219" s="9" t="s">
        <v>619</v>
      </c>
      <c r="F219" s="216">
        <v>208833000</v>
      </c>
      <c r="G219" s="217" t="s">
        <v>48</v>
      </c>
      <c r="H219" s="218">
        <v>107168099</v>
      </c>
      <c r="I219" s="218">
        <v>316001099</v>
      </c>
      <c r="J219" s="218">
        <v>124943989</v>
      </c>
      <c r="K219" s="218">
        <v>23074672</v>
      </c>
      <c r="L219" s="218">
        <v>124943989</v>
      </c>
      <c r="M219" s="218">
        <v>23074672</v>
      </c>
      <c r="N219" s="218">
        <v>124943989</v>
      </c>
      <c r="O219" s="219">
        <v>0.39539999999999997</v>
      </c>
      <c r="P219" s="8">
        <v>237454111</v>
      </c>
      <c r="Q219" s="183">
        <f t="shared" si="72"/>
        <v>-0.33078807382703096</v>
      </c>
      <c r="R219" s="347">
        <v>237454111</v>
      </c>
    </row>
    <row r="220" spans="1:18" s="167" customFormat="1">
      <c r="A220" s="10"/>
      <c r="B220" s="14" t="s">
        <v>620</v>
      </c>
      <c r="C220" s="10" t="s">
        <v>621</v>
      </c>
      <c r="D220" s="25" t="s">
        <v>423</v>
      </c>
      <c r="E220" s="9" t="s">
        <v>622</v>
      </c>
      <c r="F220" s="216">
        <v>5227000</v>
      </c>
      <c r="G220" s="217" t="s">
        <v>48</v>
      </c>
      <c r="H220" s="217" t="s">
        <v>48</v>
      </c>
      <c r="I220" s="218">
        <v>5227000</v>
      </c>
      <c r="J220" s="218">
        <v>5227000</v>
      </c>
      <c r="K220" s="218">
        <v>698050</v>
      </c>
      <c r="L220" s="218">
        <v>698050</v>
      </c>
      <c r="M220" s="218">
        <v>698050</v>
      </c>
      <c r="N220" s="218">
        <v>698050</v>
      </c>
      <c r="O220" s="219">
        <v>0.13350000000000001</v>
      </c>
      <c r="P220" s="8"/>
      <c r="Q220" s="183" t="e">
        <f t="shared" si="72"/>
        <v>#DIV/0!</v>
      </c>
      <c r="R220" s="347"/>
    </row>
    <row r="221" spans="1:18" s="166" customFormat="1">
      <c r="A221" s="11"/>
      <c r="B221" s="16"/>
      <c r="C221" s="12" t="s">
        <v>623</v>
      </c>
      <c r="D221" s="24"/>
      <c r="E221" s="11" t="s">
        <v>624</v>
      </c>
      <c r="F221" s="211">
        <v>243143000</v>
      </c>
      <c r="G221" s="213">
        <v>17201599</v>
      </c>
      <c r="H221" s="213">
        <v>18201599</v>
      </c>
      <c r="I221" s="213">
        <v>261344599</v>
      </c>
      <c r="J221" s="213">
        <v>244143000</v>
      </c>
      <c r="K221" s="213">
        <v>23034200</v>
      </c>
      <c r="L221" s="213">
        <v>131303550</v>
      </c>
      <c r="M221" s="213">
        <v>23034200</v>
      </c>
      <c r="N221" s="213">
        <v>131303550</v>
      </c>
      <c r="O221" s="214">
        <v>0.50239999999999996</v>
      </c>
      <c r="P221" s="13">
        <f t="shared" ref="G221:P221" si="77">SUM(P222:P227)</f>
        <v>252699652</v>
      </c>
      <c r="Q221" s="183">
        <f t="shared" si="72"/>
        <v>-3.4210363692942482E-2</v>
      </c>
      <c r="R221" s="349">
        <f>SUM(R222:R227)</f>
        <v>252699652</v>
      </c>
    </row>
    <row r="222" spans="1:18" s="167" customFormat="1">
      <c r="A222" s="10"/>
      <c r="B222" s="14" t="s">
        <v>625</v>
      </c>
      <c r="C222" s="10" t="s">
        <v>626</v>
      </c>
      <c r="D222" s="25" t="s">
        <v>393</v>
      </c>
      <c r="E222" s="9" t="s">
        <v>627</v>
      </c>
      <c r="F222" s="216">
        <v>40155000</v>
      </c>
      <c r="G222" s="217" t="s">
        <v>48</v>
      </c>
      <c r="H222" s="217" t="s">
        <v>48</v>
      </c>
      <c r="I222" s="218">
        <v>40155000</v>
      </c>
      <c r="J222" s="218">
        <v>40155000</v>
      </c>
      <c r="K222" s="218">
        <v>3349800</v>
      </c>
      <c r="L222" s="218">
        <v>22986650</v>
      </c>
      <c r="M222" s="218">
        <v>3349800</v>
      </c>
      <c r="N222" s="218">
        <v>22986650</v>
      </c>
      <c r="O222" s="219">
        <v>0.57240000000000002</v>
      </c>
      <c r="P222" s="8">
        <v>56819234</v>
      </c>
      <c r="Q222" s="183">
        <f t="shared" si="72"/>
        <v>0.29328508722944063</v>
      </c>
      <c r="R222" s="347">
        <v>56819234</v>
      </c>
    </row>
    <row r="223" spans="1:18" s="167" customFormat="1">
      <c r="A223" s="10"/>
      <c r="B223" s="14" t="s">
        <v>628</v>
      </c>
      <c r="C223" s="10" t="s">
        <v>629</v>
      </c>
      <c r="D223" s="25" t="s">
        <v>397</v>
      </c>
      <c r="E223" s="9" t="s">
        <v>630</v>
      </c>
      <c r="F223" s="216">
        <v>138273000</v>
      </c>
      <c r="G223" s="217" t="s">
        <v>48</v>
      </c>
      <c r="H223" s="217" t="s">
        <v>48</v>
      </c>
      <c r="I223" s="218">
        <v>138273000</v>
      </c>
      <c r="J223" s="218">
        <v>138273000</v>
      </c>
      <c r="K223" s="218">
        <v>11324750</v>
      </c>
      <c r="L223" s="218">
        <v>64547950</v>
      </c>
      <c r="M223" s="218">
        <v>11324750</v>
      </c>
      <c r="N223" s="218">
        <v>64547950</v>
      </c>
      <c r="O223" s="219">
        <v>0.46679999999999999</v>
      </c>
      <c r="P223" s="8">
        <v>156016599</v>
      </c>
      <c r="Q223" s="183">
        <f t="shared" si="72"/>
        <v>0.11372891803647124</v>
      </c>
      <c r="R223" s="347">
        <v>156016599</v>
      </c>
    </row>
    <row r="224" spans="1:18" s="167" customFormat="1">
      <c r="A224" s="10"/>
      <c r="B224" s="14" t="s">
        <v>631</v>
      </c>
      <c r="C224" s="10" t="s">
        <v>632</v>
      </c>
      <c r="D224" s="25" t="s">
        <v>401</v>
      </c>
      <c r="E224" s="9" t="s">
        <v>633</v>
      </c>
      <c r="F224" s="216">
        <v>7656000</v>
      </c>
      <c r="G224" s="217" t="s">
        <v>48</v>
      </c>
      <c r="H224" s="217" t="s">
        <v>48</v>
      </c>
      <c r="I224" s="218">
        <v>7656000</v>
      </c>
      <c r="J224" s="218">
        <v>7656000</v>
      </c>
      <c r="K224" s="218">
        <v>2664750</v>
      </c>
      <c r="L224" s="218">
        <v>6272200</v>
      </c>
      <c r="M224" s="218">
        <v>2664750</v>
      </c>
      <c r="N224" s="218">
        <v>6272200</v>
      </c>
      <c r="O224" s="219">
        <v>0.81930000000000003</v>
      </c>
      <c r="P224" s="8">
        <v>8032244</v>
      </c>
      <c r="Q224" s="183">
        <f t="shared" si="72"/>
        <v>4.6841704509972555E-2</v>
      </c>
      <c r="R224" s="347">
        <v>8032244</v>
      </c>
    </row>
    <row r="225" spans="1:18" s="167" customFormat="1">
      <c r="A225" s="10"/>
      <c r="B225" s="14" t="s">
        <v>634</v>
      </c>
      <c r="C225" s="10" t="s">
        <v>635</v>
      </c>
      <c r="D225" s="25" t="s">
        <v>405</v>
      </c>
      <c r="E225" s="9" t="s">
        <v>636</v>
      </c>
      <c r="F225" s="216">
        <v>32698000</v>
      </c>
      <c r="G225" s="218">
        <v>12240000</v>
      </c>
      <c r="H225" s="218">
        <v>13240000</v>
      </c>
      <c r="I225" s="218">
        <v>45938000</v>
      </c>
      <c r="J225" s="218">
        <v>33698000</v>
      </c>
      <c r="K225" s="218">
        <v>2066700</v>
      </c>
      <c r="L225" s="218">
        <v>18521900</v>
      </c>
      <c r="M225" s="218">
        <v>2066700</v>
      </c>
      <c r="N225" s="218">
        <v>18521900</v>
      </c>
      <c r="O225" s="219">
        <v>0.4032</v>
      </c>
      <c r="P225" s="8"/>
      <c r="Q225" s="183" t="e">
        <f t="shared" si="72"/>
        <v>#DIV/0!</v>
      </c>
      <c r="R225" s="347"/>
    </row>
    <row r="226" spans="1:18" s="167" customFormat="1">
      <c r="A226" s="10"/>
      <c r="B226" s="14" t="s">
        <v>637</v>
      </c>
      <c r="C226" s="10" t="s">
        <v>638</v>
      </c>
      <c r="D226" s="25" t="s">
        <v>409</v>
      </c>
      <c r="E226" s="9" t="s">
        <v>639</v>
      </c>
      <c r="F226" s="216">
        <v>24361000</v>
      </c>
      <c r="G226" s="218">
        <v>4961599</v>
      </c>
      <c r="H226" s="218">
        <v>4961599</v>
      </c>
      <c r="I226" s="218">
        <v>29322599</v>
      </c>
      <c r="J226" s="218">
        <v>24361000</v>
      </c>
      <c r="K226" s="218">
        <v>3628200</v>
      </c>
      <c r="L226" s="218">
        <v>18974850</v>
      </c>
      <c r="M226" s="218">
        <v>3628200</v>
      </c>
      <c r="N226" s="218">
        <v>18974850</v>
      </c>
      <c r="O226" s="219">
        <v>0.64710000000000001</v>
      </c>
      <c r="P226" s="8">
        <v>31831575</v>
      </c>
      <c r="Q226" s="183">
        <f t="shared" si="72"/>
        <v>7.8820353689693326E-2</v>
      </c>
      <c r="R226" s="347">
        <v>31831575</v>
      </c>
    </row>
    <row r="227" spans="1:18" s="167" customFormat="1">
      <c r="A227" s="10"/>
      <c r="B227" s="14"/>
      <c r="C227" s="10" t="s">
        <v>640</v>
      </c>
      <c r="D227" s="25" t="s">
        <v>419</v>
      </c>
      <c r="E227" s="9" t="s">
        <v>641</v>
      </c>
      <c r="F227" s="215" t="s">
        <v>304</v>
      </c>
      <c r="G227" s="217" t="s">
        <v>48</v>
      </c>
      <c r="H227" s="217" t="s">
        <v>48</v>
      </c>
      <c r="I227" s="217" t="s">
        <v>304</v>
      </c>
      <c r="J227" s="217" t="s">
        <v>305</v>
      </c>
      <c r="K227" s="217" t="s">
        <v>112</v>
      </c>
      <c r="L227" s="217" t="s">
        <v>112</v>
      </c>
      <c r="M227" s="217" t="s">
        <v>113</v>
      </c>
      <c r="N227" s="217" t="s">
        <v>114</v>
      </c>
      <c r="O227" s="219">
        <v>0</v>
      </c>
      <c r="P227" s="8">
        <v>0</v>
      </c>
      <c r="Q227" s="183" t="e">
        <f t="shared" si="72"/>
        <v>#VALUE!</v>
      </c>
      <c r="R227" s="347">
        <v>0</v>
      </c>
    </row>
    <row r="228" spans="1:18" s="166" customFormat="1">
      <c r="A228" s="72" t="s">
        <v>642</v>
      </c>
      <c r="B228" s="73" t="s">
        <v>643</v>
      </c>
      <c r="C228" s="74" t="s">
        <v>644</v>
      </c>
      <c r="D228" s="75"/>
      <c r="E228" s="20" t="s">
        <v>190</v>
      </c>
      <c r="F228" s="206">
        <v>2456814000</v>
      </c>
      <c r="G228" s="208">
        <v>132188779</v>
      </c>
      <c r="H228" s="208">
        <v>490764046</v>
      </c>
      <c r="I228" s="208">
        <v>2947578046</v>
      </c>
      <c r="J228" s="208">
        <v>2621614611</v>
      </c>
      <c r="K228" s="208">
        <v>173181877</v>
      </c>
      <c r="L228" s="208">
        <v>1418789349</v>
      </c>
      <c r="M228" s="208">
        <v>173181877</v>
      </c>
      <c r="N228" s="208">
        <v>1418789349</v>
      </c>
      <c r="O228" s="209">
        <v>0.48130000000000001</v>
      </c>
      <c r="P228" s="76">
        <f t="shared" ref="H228:P228" si="78">+P229+P238</f>
        <v>2726705113.5999999</v>
      </c>
      <c r="Q228" s="183">
        <f t="shared" si="72"/>
        <v>-8.1003600755487321E-2</v>
      </c>
      <c r="R228" s="345">
        <f>+R229+R238</f>
        <v>2254520297</v>
      </c>
    </row>
    <row r="229" spans="1:18" s="166" customFormat="1">
      <c r="A229" s="11"/>
      <c r="B229" s="16"/>
      <c r="C229" s="12" t="s">
        <v>645</v>
      </c>
      <c r="D229" s="24"/>
      <c r="E229" s="11" t="s">
        <v>646</v>
      </c>
      <c r="F229" s="211">
        <v>2310187000</v>
      </c>
      <c r="G229" s="213">
        <v>119948779</v>
      </c>
      <c r="H229" s="213">
        <v>477745548</v>
      </c>
      <c r="I229" s="213">
        <v>2787932548</v>
      </c>
      <c r="J229" s="213">
        <v>2475302361</v>
      </c>
      <c r="K229" s="213">
        <v>165642127</v>
      </c>
      <c r="L229" s="213">
        <v>1346277349</v>
      </c>
      <c r="M229" s="213">
        <v>165642127</v>
      </c>
      <c r="N229" s="213">
        <v>1346277349</v>
      </c>
      <c r="O229" s="214">
        <v>0.4829</v>
      </c>
      <c r="P229" s="13">
        <f t="shared" ref="G229:P229" si="79">SUM(P230:P237)</f>
        <v>2611633964.5999999</v>
      </c>
      <c r="Q229" s="183">
        <f t="shared" si="72"/>
        <v>-6.7505089070551333E-2</v>
      </c>
      <c r="R229" s="349">
        <f>SUM(R230:R237)</f>
        <v>2139449148</v>
      </c>
    </row>
    <row r="230" spans="1:18" s="167" customFormat="1">
      <c r="A230" s="10"/>
      <c r="B230" s="14" t="s">
        <v>647</v>
      </c>
      <c r="C230" s="10" t="s">
        <v>648</v>
      </c>
      <c r="D230" s="25" t="s">
        <v>393</v>
      </c>
      <c r="E230" s="9" t="s">
        <v>649</v>
      </c>
      <c r="F230" s="216">
        <v>381054000</v>
      </c>
      <c r="G230" s="217" t="s">
        <v>48</v>
      </c>
      <c r="H230" s="218">
        <v>115449429</v>
      </c>
      <c r="I230" s="218">
        <v>496503429</v>
      </c>
      <c r="J230" s="218">
        <v>496503429</v>
      </c>
      <c r="K230" s="218">
        <v>32486858</v>
      </c>
      <c r="L230" s="218">
        <v>220027784</v>
      </c>
      <c r="M230" s="218">
        <v>32486858</v>
      </c>
      <c r="N230" s="218">
        <v>220027784</v>
      </c>
      <c r="O230" s="219">
        <v>0.44319999999999998</v>
      </c>
      <c r="P230" s="8">
        <v>389720998</v>
      </c>
      <c r="Q230" s="183">
        <f t="shared" si="72"/>
        <v>-0.27399711985752434</v>
      </c>
      <c r="R230" s="347">
        <v>389720998</v>
      </c>
    </row>
    <row r="231" spans="1:18" s="167" customFormat="1">
      <c r="A231" s="10"/>
      <c r="B231" s="14" t="s">
        <v>650</v>
      </c>
      <c r="C231" s="10" t="s">
        <v>651</v>
      </c>
      <c r="D231" s="25" t="s">
        <v>397</v>
      </c>
      <c r="E231" s="9" t="s">
        <v>652</v>
      </c>
      <c r="F231" s="216">
        <v>500723000</v>
      </c>
      <c r="G231" s="218">
        <v>12929239</v>
      </c>
      <c r="H231" s="218">
        <v>119690082</v>
      </c>
      <c r="I231" s="218">
        <v>620413082</v>
      </c>
      <c r="J231" s="218">
        <v>620413082</v>
      </c>
      <c r="K231" s="218">
        <v>34999011</v>
      </c>
      <c r="L231" s="218">
        <v>284269299</v>
      </c>
      <c r="M231" s="218">
        <v>34999011</v>
      </c>
      <c r="N231" s="218">
        <v>284269299</v>
      </c>
      <c r="O231" s="219">
        <v>0.4582</v>
      </c>
      <c r="P231" s="8">
        <v>550026714</v>
      </c>
      <c r="Q231" s="183">
        <f t="shared" si="72"/>
        <v>-0.12796899897483888</v>
      </c>
      <c r="R231" s="347">
        <v>550026714</v>
      </c>
    </row>
    <row r="232" spans="1:18" s="167" customFormat="1">
      <c r="A232" s="10"/>
      <c r="B232" s="14" t="s">
        <v>653</v>
      </c>
      <c r="C232" s="10" t="s">
        <v>654</v>
      </c>
      <c r="D232" s="25" t="s">
        <v>401</v>
      </c>
      <c r="E232" s="9" t="s">
        <v>655</v>
      </c>
      <c r="F232" s="216">
        <v>335647000</v>
      </c>
      <c r="G232" s="217" t="s">
        <v>48</v>
      </c>
      <c r="H232" s="218">
        <v>31833642</v>
      </c>
      <c r="I232" s="218">
        <v>367480642</v>
      </c>
      <c r="J232" s="218">
        <v>335647000</v>
      </c>
      <c r="K232" s="218">
        <v>22045026</v>
      </c>
      <c r="L232" s="218">
        <v>173551735</v>
      </c>
      <c r="M232" s="218">
        <v>22045026</v>
      </c>
      <c r="N232" s="218">
        <v>173551735</v>
      </c>
      <c r="O232" s="219">
        <v>0.4723</v>
      </c>
      <c r="P232" s="8">
        <v>341075858</v>
      </c>
      <c r="Q232" s="183">
        <f t="shared" si="72"/>
        <v>-7.7416162359987384E-2</v>
      </c>
      <c r="R232" s="347">
        <v>341075858</v>
      </c>
    </row>
    <row r="233" spans="1:18" s="167" customFormat="1">
      <c r="A233" s="10"/>
      <c r="B233" s="14" t="s">
        <v>656</v>
      </c>
      <c r="C233" s="10" t="s">
        <v>657</v>
      </c>
      <c r="D233" s="25" t="s">
        <v>405</v>
      </c>
      <c r="E233" s="9" t="s">
        <v>658</v>
      </c>
      <c r="F233" s="216">
        <v>462373000</v>
      </c>
      <c r="G233" s="218">
        <v>11644831</v>
      </c>
      <c r="H233" s="218">
        <v>95397686</v>
      </c>
      <c r="I233" s="218">
        <v>557770686</v>
      </c>
      <c r="J233" s="218">
        <v>462373000</v>
      </c>
      <c r="K233" s="218">
        <v>35386307</v>
      </c>
      <c r="L233" s="218">
        <v>260475308</v>
      </c>
      <c r="M233" s="218">
        <v>35386307</v>
      </c>
      <c r="N233" s="218">
        <v>260475308</v>
      </c>
      <c r="O233" s="219">
        <v>0.46700000000000003</v>
      </c>
      <c r="P233" s="8">
        <v>472184816.60000002</v>
      </c>
      <c r="Q233" s="183">
        <f t="shared" si="72"/>
        <v>-0.18125502216752129</v>
      </c>
      <c r="R233" s="347"/>
    </row>
    <row r="234" spans="1:18" s="167" customFormat="1">
      <c r="A234" s="10"/>
      <c r="B234" s="14" t="s">
        <v>659</v>
      </c>
      <c r="C234" s="10" t="s">
        <v>660</v>
      </c>
      <c r="D234" s="25" t="s">
        <v>409</v>
      </c>
      <c r="E234" s="9" t="s">
        <v>661</v>
      </c>
      <c r="F234" s="216">
        <v>346391000</v>
      </c>
      <c r="G234" s="218">
        <v>77329192</v>
      </c>
      <c r="H234" s="218">
        <v>77329192</v>
      </c>
      <c r="I234" s="218">
        <v>423720192</v>
      </c>
      <c r="J234" s="218">
        <v>346391000</v>
      </c>
      <c r="K234" s="218">
        <v>16992800</v>
      </c>
      <c r="L234" s="218">
        <v>247173705</v>
      </c>
      <c r="M234" s="218">
        <v>16992800</v>
      </c>
      <c r="N234" s="218">
        <v>247173705</v>
      </c>
      <c r="O234" s="219">
        <v>0.58330000000000004</v>
      </c>
      <c r="P234" s="8">
        <v>443813614</v>
      </c>
      <c r="Q234" s="183">
        <f t="shared" si="72"/>
        <v>4.5274460643291575E-2</v>
      </c>
      <c r="R234" s="347">
        <v>443813614</v>
      </c>
    </row>
    <row r="235" spans="1:18" s="167" customFormat="1">
      <c r="A235" s="10"/>
      <c r="B235" s="14" t="s">
        <v>662</v>
      </c>
      <c r="C235" s="10" t="s">
        <v>663</v>
      </c>
      <c r="D235" s="25" t="s">
        <v>413</v>
      </c>
      <c r="E235" s="9" t="s">
        <v>664</v>
      </c>
      <c r="F235" s="216">
        <v>111389000</v>
      </c>
      <c r="G235" s="218">
        <v>9165114</v>
      </c>
      <c r="H235" s="218">
        <v>9165114</v>
      </c>
      <c r="I235" s="218">
        <v>120554114</v>
      </c>
      <c r="J235" s="218">
        <v>111389000</v>
      </c>
      <c r="K235" s="218">
        <v>7214175</v>
      </c>
      <c r="L235" s="218">
        <v>58193668</v>
      </c>
      <c r="M235" s="218">
        <v>7214175</v>
      </c>
      <c r="N235" s="218">
        <v>58193668</v>
      </c>
      <c r="O235" s="219">
        <v>0.48270000000000002</v>
      </c>
      <c r="P235" s="8">
        <v>177357853</v>
      </c>
      <c r="Q235" s="183">
        <f t="shared" si="72"/>
        <v>0.32027755207433639</v>
      </c>
      <c r="R235" s="347">
        <v>177357853</v>
      </c>
    </row>
    <row r="236" spans="1:18" s="167" customFormat="1">
      <c r="A236" s="10"/>
      <c r="B236" s="14" t="s">
        <v>665</v>
      </c>
      <c r="C236" s="10" t="s">
        <v>666</v>
      </c>
      <c r="D236" s="25" t="s">
        <v>419</v>
      </c>
      <c r="E236" s="9" t="s">
        <v>667</v>
      </c>
      <c r="F236" s="216">
        <v>172610000</v>
      </c>
      <c r="G236" s="218">
        <v>8880403</v>
      </c>
      <c r="H236" s="218">
        <v>28880403</v>
      </c>
      <c r="I236" s="218">
        <v>201490403</v>
      </c>
      <c r="J236" s="218">
        <v>102585850</v>
      </c>
      <c r="K236" s="218">
        <v>16517950</v>
      </c>
      <c r="L236" s="218">
        <v>102585850</v>
      </c>
      <c r="M236" s="218">
        <v>16517950</v>
      </c>
      <c r="N236" s="218">
        <v>102585850</v>
      </c>
      <c r="O236" s="219">
        <v>0.5091</v>
      </c>
      <c r="P236" s="186">
        <v>237454111</v>
      </c>
      <c r="Q236" s="183">
        <f t="shared" si="72"/>
        <v>0.15145540268199442</v>
      </c>
      <c r="R236" s="350">
        <v>237454111</v>
      </c>
    </row>
    <row r="237" spans="1:18" s="167" customFormat="1">
      <c r="A237" s="10"/>
      <c r="B237" s="14"/>
      <c r="C237" s="10" t="s">
        <v>668</v>
      </c>
      <c r="D237" s="25" t="s">
        <v>423</v>
      </c>
      <c r="E237" s="9" t="s">
        <v>669</v>
      </c>
      <c r="F237" s="215" t="s">
        <v>304</v>
      </c>
      <c r="G237" s="217" t="s">
        <v>48</v>
      </c>
      <c r="H237" s="217" t="s">
        <v>48</v>
      </c>
      <c r="I237" s="217" t="s">
        <v>304</v>
      </c>
      <c r="J237" s="217" t="s">
        <v>305</v>
      </c>
      <c r="K237" s="217" t="s">
        <v>112</v>
      </c>
      <c r="L237" s="217" t="s">
        <v>112</v>
      </c>
      <c r="M237" s="217" t="s">
        <v>113</v>
      </c>
      <c r="N237" s="217" t="s">
        <v>114</v>
      </c>
      <c r="O237" s="219">
        <v>0</v>
      </c>
      <c r="P237" s="8"/>
      <c r="Q237" s="183" t="e">
        <f t="shared" si="72"/>
        <v>#VALUE!</v>
      </c>
      <c r="R237" s="347"/>
    </row>
    <row r="238" spans="1:18" s="166" customFormat="1">
      <c r="A238" s="11"/>
      <c r="B238" s="16"/>
      <c r="C238" s="12" t="s">
        <v>670</v>
      </c>
      <c r="D238" s="24"/>
      <c r="E238" s="11" t="s">
        <v>671</v>
      </c>
      <c r="F238" s="211">
        <v>146627000</v>
      </c>
      <c r="G238" s="213">
        <v>12240000</v>
      </c>
      <c r="H238" s="213">
        <v>13018498</v>
      </c>
      <c r="I238" s="213">
        <v>159645498</v>
      </c>
      <c r="J238" s="213">
        <v>146312250</v>
      </c>
      <c r="K238" s="213">
        <v>7539750</v>
      </c>
      <c r="L238" s="213">
        <v>72512000</v>
      </c>
      <c r="M238" s="213">
        <v>7539750</v>
      </c>
      <c r="N238" s="213">
        <v>72512000</v>
      </c>
      <c r="O238" s="214">
        <v>0.45419999999999999</v>
      </c>
      <c r="P238" s="13">
        <f t="shared" ref="G238:P238" si="80">SUM(P239:P244)</f>
        <v>115071149</v>
      </c>
      <c r="Q238" s="183">
        <f t="shared" si="72"/>
        <v>-0.38736337811313593</v>
      </c>
      <c r="R238" s="349">
        <f>SUM(R239:R244)</f>
        <v>115071149</v>
      </c>
    </row>
    <row r="239" spans="1:18" s="167" customFormat="1">
      <c r="A239" s="10"/>
      <c r="B239" s="14" t="s">
        <v>672</v>
      </c>
      <c r="C239" s="10" t="s">
        <v>673</v>
      </c>
      <c r="D239" s="25" t="s">
        <v>393</v>
      </c>
      <c r="E239" s="9" t="s">
        <v>674</v>
      </c>
      <c r="F239" s="216">
        <v>37212000</v>
      </c>
      <c r="G239" s="217" t="s">
        <v>48</v>
      </c>
      <c r="H239" s="217" t="s">
        <v>48</v>
      </c>
      <c r="I239" s="218">
        <v>37212000</v>
      </c>
      <c r="J239" s="218">
        <v>37212000</v>
      </c>
      <c r="K239" s="218">
        <v>2396700</v>
      </c>
      <c r="L239" s="218">
        <v>18371600</v>
      </c>
      <c r="M239" s="218">
        <v>2396700</v>
      </c>
      <c r="N239" s="218">
        <v>18371600</v>
      </c>
      <c r="O239" s="219">
        <v>0.49370000000000003</v>
      </c>
      <c r="P239" s="8">
        <v>36604559</v>
      </c>
      <c r="Q239" s="183">
        <f t="shared" si="72"/>
        <v>-1.6594681553191229E-2</v>
      </c>
      <c r="R239" s="347">
        <v>36604559</v>
      </c>
    </row>
    <row r="240" spans="1:18" s="167" customFormat="1">
      <c r="A240" s="10"/>
      <c r="B240" s="14" t="s">
        <v>675</v>
      </c>
      <c r="C240" s="10" t="s">
        <v>676</v>
      </c>
      <c r="D240" s="25" t="s">
        <v>397</v>
      </c>
      <c r="E240" s="9" t="s">
        <v>677</v>
      </c>
      <c r="F240" s="216">
        <v>75675000</v>
      </c>
      <c r="G240" s="217" t="s">
        <v>48</v>
      </c>
      <c r="H240" s="217" t="s">
        <v>48</v>
      </c>
      <c r="I240" s="218">
        <v>75675000</v>
      </c>
      <c r="J240" s="218">
        <v>75675000</v>
      </c>
      <c r="K240" s="218">
        <v>3279300</v>
      </c>
      <c r="L240" s="218">
        <v>38422350</v>
      </c>
      <c r="M240" s="218">
        <v>3279300</v>
      </c>
      <c r="N240" s="218">
        <v>38422350</v>
      </c>
      <c r="O240" s="219">
        <v>0.50770000000000004</v>
      </c>
      <c r="P240" s="8">
        <v>62476452</v>
      </c>
      <c r="Q240" s="183">
        <f t="shared" si="72"/>
        <v>-0.2112563626372381</v>
      </c>
      <c r="R240" s="347">
        <v>62476452</v>
      </c>
    </row>
    <row r="241" spans="1:18" s="167" customFormat="1">
      <c r="A241" s="10"/>
      <c r="B241" s="14" t="s">
        <v>678</v>
      </c>
      <c r="C241" s="10" t="s">
        <v>679</v>
      </c>
      <c r="D241" s="25" t="s">
        <v>401</v>
      </c>
      <c r="E241" s="9" t="s">
        <v>680</v>
      </c>
      <c r="F241" s="216">
        <v>10720000</v>
      </c>
      <c r="G241" s="217" t="s">
        <v>48</v>
      </c>
      <c r="H241" s="217" t="s">
        <v>48</v>
      </c>
      <c r="I241" s="218">
        <v>10720000</v>
      </c>
      <c r="J241" s="218">
        <v>10720000</v>
      </c>
      <c r="K241" s="218">
        <v>661300</v>
      </c>
      <c r="L241" s="218">
        <v>2992950</v>
      </c>
      <c r="M241" s="218">
        <v>661300</v>
      </c>
      <c r="N241" s="218">
        <v>2992950</v>
      </c>
      <c r="O241" s="219">
        <v>0.2792</v>
      </c>
      <c r="P241" s="8">
        <v>8032244</v>
      </c>
      <c r="Q241" s="183">
        <f t="shared" si="72"/>
        <v>-0.33462081082198203</v>
      </c>
      <c r="R241" s="347">
        <v>8032244</v>
      </c>
    </row>
    <row r="242" spans="1:18" s="167" customFormat="1">
      <c r="A242" s="10"/>
      <c r="B242" s="14" t="s">
        <v>681</v>
      </c>
      <c r="C242" s="10" t="s">
        <v>682</v>
      </c>
      <c r="D242" s="25" t="s">
        <v>405</v>
      </c>
      <c r="E242" s="9" t="s">
        <v>683</v>
      </c>
      <c r="F242" s="216">
        <v>18419000</v>
      </c>
      <c r="G242" s="218">
        <v>12240000</v>
      </c>
      <c r="H242" s="218">
        <v>14340000</v>
      </c>
      <c r="I242" s="218">
        <v>32759000</v>
      </c>
      <c r="J242" s="218">
        <v>20519000</v>
      </c>
      <c r="K242" s="218">
        <v>1202450</v>
      </c>
      <c r="L242" s="218">
        <v>10538850</v>
      </c>
      <c r="M242" s="218">
        <v>1202450</v>
      </c>
      <c r="N242" s="218">
        <v>10538850</v>
      </c>
      <c r="O242" s="219">
        <v>0.32169999999999999</v>
      </c>
      <c r="P242" s="8"/>
      <c r="Q242" s="183" t="e">
        <f t="shared" si="72"/>
        <v>#DIV/0!</v>
      </c>
      <c r="R242" s="347"/>
    </row>
    <row r="243" spans="1:18" s="167" customFormat="1">
      <c r="A243" s="10"/>
      <c r="B243" s="14" t="s">
        <v>684</v>
      </c>
      <c r="C243" s="10" t="s">
        <v>685</v>
      </c>
      <c r="D243" s="25" t="s">
        <v>409</v>
      </c>
      <c r="E243" s="9" t="s">
        <v>686</v>
      </c>
      <c r="F243" s="216">
        <v>4601000</v>
      </c>
      <c r="G243" s="217" t="s">
        <v>48</v>
      </c>
      <c r="H243" s="218">
        <v>-1321502</v>
      </c>
      <c r="I243" s="218">
        <v>3279498</v>
      </c>
      <c r="J243" s="218">
        <v>2186250</v>
      </c>
      <c r="K243" s="217" t="s">
        <v>112</v>
      </c>
      <c r="L243" s="218">
        <v>2186250</v>
      </c>
      <c r="M243" s="217" t="s">
        <v>113</v>
      </c>
      <c r="N243" s="218">
        <v>2186250</v>
      </c>
      <c r="O243" s="219">
        <v>0.66659999999999997</v>
      </c>
      <c r="P243" s="8">
        <v>7957894</v>
      </c>
      <c r="Q243" s="183">
        <f t="shared" si="72"/>
        <v>0.58789373168328207</v>
      </c>
      <c r="R243" s="347">
        <v>7957894</v>
      </c>
    </row>
    <row r="244" spans="1:18" s="167" customFormat="1">
      <c r="A244" s="10"/>
      <c r="B244" s="14"/>
      <c r="C244" s="10" t="s">
        <v>687</v>
      </c>
      <c r="D244" s="25" t="s">
        <v>419</v>
      </c>
      <c r="E244" s="9" t="s">
        <v>688</v>
      </c>
      <c r="F244" s="215" t="s">
        <v>304</v>
      </c>
      <c r="G244" s="217" t="s">
        <v>48</v>
      </c>
      <c r="H244" s="217" t="s">
        <v>48</v>
      </c>
      <c r="I244" s="217" t="s">
        <v>304</v>
      </c>
      <c r="J244" s="217" t="s">
        <v>305</v>
      </c>
      <c r="K244" s="217" t="s">
        <v>112</v>
      </c>
      <c r="L244" s="217" t="s">
        <v>112</v>
      </c>
      <c r="M244" s="217" t="s">
        <v>113</v>
      </c>
      <c r="N244" s="217" t="s">
        <v>114</v>
      </c>
      <c r="O244" s="219">
        <v>0</v>
      </c>
      <c r="P244" s="8">
        <v>0</v>
      </c>
      <c r="Q244" s="183" t="e">
        <f t="shared" si="72"/>
        <v>#VALUE!</v>
      </c>
      <c r="R244" s="347">
        <v>0</v>
      </c>
    </row>
    <row r="245" spans="1:18">
      <c r="A245" s="67" t="s">
        <v>689</v>
      </c>
      <c r="B245" s="68" t="s">
        <v>690</v>
      </c>
      <c r="C245" s="69" t="s">
        <v>691</v>
      </c>
      <c r="D245" s="70"/>
      <c r="E245" s="27" t="s">
        <v>203</v>
      </c>
      <c r="F245" s="202">
        <v>4177312000</v>
      </c>
      <c r="G245" s="204">
        <v>86599410</v>
      </c>
      <c r="H245" s="204">
        <v>574420751</v>
      </c>
      <c r="I245" s="204">
        <v>4751732751</v>
      </c>
      <c r="J245" s="204">
        <v>4330109787</v>
      </c>
      <c r="K245" s="204">
        <v>350569298</v>
      </c>
      <c r="L245" s="204">
        <v>2444204154</v>
      </c>
      <c r="M245" s="204">
        <v>350569298</v>
      </c>
      <c r="N245" s="204">
        <v>2444204154</v>
      </c>
      <c r="O245" s="205">
        <v>0.51439999999999997</v>
      </c>
      <c r="P245" s="71">
        <f t="shared" ref="G245:P245" si="81">+P246</f>
        <v>4666082301.6700001</v>
      </c>
      <c r="Q245" s="183">
        <f t="shared" si="72"/>
        <v>-1.8355966267321402E-2</v>
      </c>
      <c r="R245" s="344">
        <f>+R246</f>
        <v>3829921689</v>
      </c>
    </row>
    <row r="246" spans="1:18" s="166" customFormat="1">
      <c r="A246" s="72" t="s">
        <v>692</v>
      </c>
      <c r="B246" s="73" t="s">
        <v>693</v>
      </c>
      <c r="C246" s="74" t="s">
        <v>694</v>
      </c>
      <c r="D246" s="75"/>
      <c r="E246" s="20" t="s">
        <v>207</v>
      </c>
      <c r="F246" s="206">
        <v>4177312000</v>
      </c>
      <c r="G246" s="208">
        <v>86599410</v>
      </c>
      <c r="H246" s="208">
        <v>574420751</v>
      </c>
      <c r="I246" s="208">
        <v>4751732751</v>
      </c>
      <c r="J246" s="208">
        <v>4330109787</v>
      </c>
      <c r="K246" s="208">
        <v>350569298</v>
      </c>
      <c r="L246" s="208">
        <v>2444204154</v>
      </c>
      <c r="M246" s="208">
        <v>350569298</v>
      </c>
      <c r="N246" s="208">
        <v>2444204154</v>
      </c>
      <c r="O246" s="209">
        <v>0.51439999999999997</v>
      </c>
      <c r="P246" s="76">
        <f t="shared" ref="G246:P246" si="82">+P247+P256</f>
        <v>4666082301.6700001</v>
      </c>
      <c r="Q246" s="183">
        <f t="shared" si="72"/>
        <v>-1.8355966267321402E-2</v>
      </c>
      <c r="R246" s="345">
        <f>+R247+R256</f>
        <v>3829921689</v>
      </c>
    </row>
    <row r="247" spans="1:18" s="166" customFormat="1">
      <c r="A247" s="11"/>
      <c r="B247" s="16"/>
      <c r="C247" s="12" t="s">
        <v>695</v>
      </c>
      <c r="D247" s="24"/>
      <c r="E247" s="11" t="s">
        <v>696</v>
      </c>
      <c r="F247" s="211">
        <v>3896672000</v>
      </c>
      <c r="G247" s="213">
        <v>76224056</v>
      </c>
      <c r="H247" s="213">
        <v>562445397</v>
      </c>
      <c r="I247" s="213">
        <v>4459117397</v>
      </c>
      <c r="J247" s="213">
        <v>4047869787</v>
      </c>
      <c r="K247" s="213">
        <v>328913148</v>
      </c>
      <c r="L247" s="213">
        <v>2299836754</v>
      </c>
      <c r="M247" s="213">
        <v>328913148</v>
      </c>
      <c r="N247" s="213">
        <v>2299836754</v>
      </c>
      <c r="O247" s="214">
        <v>0.51580000000000004</v>
      </c>
      <c r="P247" s="13">
        <f t="shared" ref="G247:P247" si="83">SUM(P248:P255)</f>
        <v>4413965198.6700001</v>
      </c>
      <c r="Q247" s="183">
        <f t="shared" si="72"/>
        <v>-1.022939608667622E-2</v>
      </c>
      <c r="R247" s="349">
        <f>SUM(R248:R255)</f>
        <v>3577804586</v>
      </c>
    </row>
    <row r="248" spans="1:18" s="167" customFormat="1">
      <c r="A248" s="10"/>
      <c r="B248" s="14" t="s">
        <v>697</v>
      </c>
      <c r="C248" s="10" t="s">
        <v>698</v>
      </c>
      <c r="D248" s="25" t="s">
        <v>393</v>
      </c>
      <c r="E248" s="9" t="s">
        <v>699</v>
      </c>
      <c r="F248" s="216">
        <v>673081000</v>
      </c>
      <c r="G248" s="217" t="s">
        <v>48</v>
      </c>
      <c r="H248" s="218">
        <v>77094088</v>
      </c>
      <c r="I248" s="218">
        <v>750175088</v>
      </c>
      <c r="J248" s="218">
        <v>750175088</v>
      </c>
      <c r="K248" s="218">
        <v>66111707</v>
      </c>
      <c r="L248" s="218">
        <v>395049286</v>
      </c>
      <c r="M248" s="218">
        <v>66111707</v>
      </c>
      <c r="N248" s="218">
        <v>395049286</v>
      </c>
      <c r="O248" s="219">
        <v>0.52659999999999996</v>
      </c>
      <c r="P248" s="8">
        <v>733049728</v>
      </c>
      <c r="Q248" s="183">
        <f t="shared" si="72"/>
        <v>-2.3361798450868533E-2</v>
      </c>
      <c r="R248" s="347">
        <v>733049728</v>
      </c>
    </row>
    <row r="249" spans="1:18" s="167" customFormat="1">
      <c r="A249" s="10"/>
      <c r="B249" s="14" t="s">
        <v>700</v>
      </c>
      <c r="C249" s="10" t="s">
        <v>701</v>
      </c>
      <c r="D249" s="25" t="s">
        <v>397</v>
      </c>
      <c r="E249" s="9" t="s">
        <v>702</v>
      </c>
      <c r="F249" s="216">
        <v>828102000</v>
      </c>
      <c r="G249" s="218">
        <v>17921187</v>
      </c>
      <c r="H249" s="218">
        <v>185337836</v>
      </c>
      <c r="I249" s="218">
        <v>1013439836</v>
      </c>
      <c r="J249" s="218">
        <v>1013439836</v>
      </c>
      <c r="K249" s="218">
        <v>77118048</v>
      </c>
      <c r="L249" s="218">
        <v>511380777</v>
      </c>
      <c r="M249" s="218">
        <v>77118048</v>
      </c>
      <c r="N249" s="218">
        <v>511380777</v>
      </c>
      <c r="O249" s="219">
        <v>0.50460000000000005</v>
      </c>
      <c r="P249" s="8">
        <v>1008964295</v>
      </c>
      <c r="Q249" s="183">
        <f t="shared" si="72"/>
        <v>-4.4357773829845982E-3</v>
      </c>
      <c r="R249" s="347">
        <v>1008964295</v>
      </c>
    </row>
    <row r="250" spans="1:18" s="167" customFormat="1">
      <c r="A250" s="10"/>
      <c r="B250" s="14" t="s">
        <v>703</v>
      </c>
      <c r="C250" s="10" t="s">
        <v>704</v>
      </c>
      <c r="D250" s="25" t="s">
        <v>401</v>
      </c>
      <c r="E250" s="9" t="s">
        <v>705</v>
      </c>
      <c r="F250" s="216">
        <v>475500000</v>
      </c>
      <c r="G250" s="217" t="s">
        <v>48</v>
      </c>
      <c r="H250" s="218">
        <v>51146026</v>
      </c>
      <c r="I250" s="218">
        <v>526646026</v>
      </c>
      <c r="J250" s="218">
        <v>475500000</v>
      </c>
      <c r="K250" s="218">
        <v>43452062</v>
      </c>
      <c r="L250" s="218">
        <v>298813820</v>
      </c>
      <c r="M250" s="218">
        <v>43452062</v>
      </c>
      <c r="N250" s="218">
        <v>298813820</v>
      </c>
      <c r="O250" s="219">
        <v>0.56740000000000002</v>
      </c>
      <c r="P250" s="8">
        <v>536878669</v>
      </c>
      <c r="Q250" s="183">
        <f t="shared" si="72"/>
        <v>1.9059507465736175E-2</v>
      </c>
      <c r="R250" s="347">
        <v>536878669</v>
      </c>
    </row>
    <row r="251" spans="1:18" s="167" customFormat="1">
      <c r="A251" s="10"/>
      <c r="B251" s="14" t="s">
        <v>706</v>
      </c>
      <c r="C251" s="10" t="s">
        <v>707</v>
      </c>
      <c r="D251" s="25" t="s">
        <v>405</v>
      </c>
      <c r="E251" s="9" t="s">
        <v>708</v>
      </c>
      <c r="F251" s="216">
        <v>826791000</v>
      </c>
      <c r="G251" s="218">
        <v>20621055</v>
      </c>
      <c r="H251" s="218">
        <v>171052153</v>
      </c>
      <c r="I251" s="218">
        <v>997843153</v>
      </c>
      <c r="J251" s="218">
        <v>826791000</v>
      </c>
      <c r="K251" s="218">
        <v>69340898</v>
      </c>
      <c r="L251" s="218">
        <v>446599112</v>
      </c>
      <c r="M251" s="218">
        <v>69340898</v>
      </c>
      <c r="N251" s="218">
        <v>446599112</v>
      </c>
      <c r="O251" s="219">
        <v>0.4476</v>
      </c>
      <c r="P251" s="8">
        <v>836160612.66999996</v>
      </c>
      <c r="Q251" s="183">
        <f t="shared" si="72"/>
        <v>-0.19336301887471211</v>
      </c>
      <c r="R251" s="347"/>
    </row>
    <row r="252" spans="1:18" s="167" customFormat="1">
      <c r="A252" s="10"/>
      <c r="B252" s="14" t="s">
        <v>709</v>
      </c>
      <c r="C252" s="10" t="s">
        <v>710</v>
      </c>
      <c r="D252" s="25" t="s">
        <v>409</v>
      </c>
      <c r="E252" s="9" t="s">
        <v>711</v>
      </c>
      <c r="F252" s="216">
        <v>681651000</v>
      </c>
      <c r="G252" s="218">
        <v>25410604</v>
      </c>
      <c r="H252" s="218">
        <v>25410604</v>
      </c>
      <c r="I252" s="218">
        <v>707061604</v>
      </c>
      <c r="J252" s="218">
        <v>681651000</v>
      </c>
      <c r="K252" s="218">
        <v>34334700</v>
      </c>
      <c r="L252" s="218">
        <v>404838050</v>
      </c>
      <c r="M252" s="218">
        <v>34334700</v>
      </c>
      <c r="N252" s="218">
        <v>404838050</v>
      </c>
      <c r="O252" s="219">
        <v>0.5726</v>
      </c>
      <c r="P252" s="8">
        <v>785919942</v>
      </c>
      <c r="Q252" s="183">
        <f t="shared" si="72"/>
        <v>0.10033889431450513</v>
      </c>
      <c r="R252" s="347">
        <v>785919942</v>
      </c>
    </row>
    <row r="253" spans="1:18" s="167" customFormat="1">
      <c r="A253" s="10"/>
      <c r="B253" s="14" t="s">
        <v>712</v>
      </c>
      <c r="C253" s="10" t="s">
        <v>713</v>
      </c>
      <c r="D253" s="25" t="s">
        <v>413</v>
      </c>
      <c r="E253" s="9" t="s">
        <v>714</v>
      </c>
      <c r="F253" s="216">
        <v>135363000</v>
      </c>
      <c r="G253" s="218">
        <v>5966283</v>
      </c>
      <c r="H253" s="218">
        <v>5966283</v>
      </c>
      <c r="I253" s="218">
        <v>141329283</v>
      </c>
      <c r="J253" s="218">
        <v>135363000</v>
      </c>
      <c r="K253" s="218">
        <v>9939937</v>
      </c>
      <c r="L253" s="218">
        <v>81413446</v>
      </c>
      <c r="M253" s="218">
        <v>9939937</v>
      </c>
      <c r="N253" s="218">
        <v>81413446</v>
      </c>
      <c r="O253" s="219">
        <v>0.57609999999999995</v>
      </c>
      <c r="P253" s="8">
        <f>50199906+125628481</f>
        <v>175828387</v>
      </c>
      <c r="Q253" s="183">
        <f t="shared" si="72"/>
        <v>0.19620895458706564</v>
      </c>
      <c r="R253" s="347">
        <f>50199906+125628481</f>
        <v>175828387</v>
      </c>
    </row>
    <row r="254" spans="1:18" s="167" customFormat="1">
      <c r="A254" s="10"/>
      <c r="B254" s="14" t="s">
        <v>715</v>
      </c>
      <c r="C254" s="10" t="s">
        <v>716</v>
      </c>
      <c r="D254" s="25" t="s">
        <v>419</v>
      </c>
      <c r="E254" s="9" t="s">
        <v>717</v>
      </c>
      <c r="F254" s="216">
        <v>272482000</v>
      </c>
      <c r="G254" s="218">
        <v>6304927</v>
      </c>
      <c r="H254" s="218">
        <v>46438407</v>
      </c>
      <c r="I254" s="218">
        <v>318920407</v>
      </c>
      <c r="J254" s="218">
        <v>161247863</v>
      </c>
      <c r="K254" s="218">
        <v>28121396</v>
      </c>
      <c r="L254" s="218">
        <v>161247863</v>
      </c>
      <c r="M254" s="218">
        <v>28121396</v>
      </c>
      <c r="N254" s="218">
        <v>161247863</v>
      </c>
      <c r="O254" s="219">
        <v>0.50560000000000005</v>
      </c>
      <c r="P254" s="8">
        <v>337163565</v>
      </c>
      <c r="Q254" s="183">
        <f t="shared" si="72"/>
        <v>5.4107738479986713E-2</v>
      </c>
      <c r="R254" s="347">
        <v>337163565</v>
      </c>
    </row>
    <row r="255" spans="1:18" s="167" customFormat="1">
      <c r="A255" s="10"/>
      <c r="B255" s="14" t="s">
        <v>718</v>
      </c>
      <c r="C255" s="10" t="s">
        <v>719</v>
      </c>
      <c r="D255" s="25" t="s">
        <v>423</v>
      </c>
      <c r="E255" s="9" t="s">
        <v>720</v>
      </c>
      <c r="F255" s="216">
        <v>3702000</v>
      </c>
      <c r="G255" s="217" t="s">
        <v>48</v>
      </c>
      <c r="H255" s="217" t="s">
        <v>48</v>
      </c>
      <c r="I255" s="218">
        <v>3702000</v>
      </c>
      <c r="J255" s="218">
        <v>3702000</v>
      </c>
      <c r="K255" s="218">
        <v>494400</v>
      </c>
      <c r="L255" s="218">
        <v>494400</v>
      </c>
      <c r="M255" s="218">
        <v>494400</v>
      </c>
      <c r="N255" s="218">
        <v>494400</v>
      </c>
      <c r="O255" s="219">
        <v>0.13350000000000001</v>
      </c>
      <c r="P255" s="8"/>
      <c r="Q255" s="183" t="e">
        <f t="shared" si="72"/>
        <v>#DIV/0!</v>
      </c>
      <c r="R255" s="347"/>
    </row>
    <row r="256" spans="1:18" s="166" customFormat="1">
      <c r="A256" s="11"/>
      <c r="B256" s="16"/>
      <c r="C256" s="12" t="s">
        <v>721</v>
      </c>
      <c r="D256" s="24"/>
      <c r="E256" s="11" t="s">
        <v>722</v>
      </c>
      <c r="F256" s="211">
        <v>280640000</v>
      </c>
      <c r="G256" s="213">
        <v>10375354</v>
      </c>
      <c r="H256" s="213">
        <v>11975354</v>
      </c>
      <c r="I256" s="213">
        <v>292615354</v>
      </c>
      <c r="J256" s="213">
        <v>282240000</v>
      </c>
      <c r="K256" s="213">
        <v>21656150</v>
      </c>
      <c r="L256" s="213">
        <v>144367400</v>
      </c>
      <c r="M256" s="213">
        <v>21656150</v>
      </c>
      <c r="N256" s="213">
        <v>144367400</v>
      </c>
      <c r="O256" s="214">
        <v>0.49340000000000001</v>
      </c>
      <c r="P256" s="13">
        <f t="shared" ref="G256:P256" si="84">SUM(P257:P262)</f>
        <v>252117103</v>
      </c>
      <c r="Q256" s="183">
        <f t="shared" si="72"/>
        <v>-0.16063270011475581</v>
      </c>
      <c r="R256" s="349">
        <f>SUM(R257:R262)</f>
        <v>252117103</v>
      </c>
    </row>
    <row r="257" spans="1:18" s="167" customFormat="1">
      <c r="A257" s="10"/>
      <c r="B257" s="14" t="s">
        <v>723</v>
      </c>
      <c r="C257" s="10" t="s">
        <v>724</v>
      </c>
      <c r="D257" s="25" t="s">
        <v>393</v>
      </c>
      <c r="E257" s="9" t="s">
        <v>725</v>
      </c>
      <c r="F257" s="216">
        <v>60171000</v>
      </c>
      <c r="G257" s="217" t="s">
        <v>48</v>
      </c>
      <c r="H257" s="217" t="s">
        <v>48</v>
      </c>
      <c r="I257" s="218">
        <v>60171000</v>
      </c>
      <c r="J257" s="218">
        <v>60171000</v>
      </c>
      <c r="K257" s="218">
        <v>4070400</v>
      </c>
      <c r="L257" s="218">
        <v>29295100</v>
      </c>
      <c r="M257" s="218">
        <v>4070400</v>
      </c>
      <c r="N257" s="218">
        <v>29295100</v>
      </c>
      <c r="O257" s="219">
        <v>0.4869</v>
      </c>
      <c r="P257" s="8">
        <v>66175189</v>
      </c>
      <c r="Q257" s="183">
        <f t="shared" si="72"/>
        <v>9.0731724241845391E-2</v>
      </c>
      <c r="R257" s="347">
        <v>66175189</v>
      </c>
    </row>
    <row r="258" spans="1:18" s="167" customFormat="1">
      <c r="A258" s="10"/>
      <c r="B258" s="14" t="s">
        <v>726</v>
      </c>
      <c r="C258" s="10" t="s">
        <v>727</v>
      </c>
      <c r="D258" s="25" t="s">
        <v>397</v>
      </c>
      <c r="E258" s="9" t="s">
        <v>728</v>
      </c>
      <c r="F258" s="216">
        <v>151546000</v>
      </c>
      <c r="G258" s="217" t="s">
        <v>48</v>
      </c>
      <c r="H258" s="217" t="s">
        <v>48</v>
      </c>
      <c r="I258" s="218">
        <v>151546000</v>
      </c>
      <c r="J258" s="218">
        <v>151546000</v>
      </c>
      <c r="K258" s="218">
        <v>10344650</v>
      </c>
      <c r="L258" s="218">
        <v>72938050</v>
      </c>
      <c r="M258" s="218">
        <v>10344650</v>
      </c>
      <c r="N258" s="218">
        <v>72938050</v>
      </c>
      <c r="O258" s="219">
        <v>0.48130000000000001</v>
      </c>
      <c r="P258" s="8">
        <v>146360095</v>
      </c>
      <c r="Q258" s="183">
        <f t="shared" si="72"/>
        <v>-3.5432506380923025E-2</v>
      </c>
      <c r="R258" s="347">
        <v>146360095</v>
      </c>
    </row>
    <row r="259" spans="1:18" s="167" customFormat="1">
      <c r="A259" s="10"/>
      <c r="B259" s="14" t="s">
        <v>729</v>
      </c>
      <c r="C259" s="10" t="s">
        <v>730</v>
      </c>
      <c r="D259" s="25" t="s">
        <v>401</v>
      </c>
      <c r="E259" s="9" t="s">
        <v>731</v>
      </c>
      <c r="F259" s="216">
        <v>11330000</v>
      </c>
      <c r="G259" s="217" t="s">
        <v>48</v>
      </c>
      <c r="H259" s="217" t="s">
        <v>48</v>
      </c>
      <c r="I259" s="218">
        <v>11330000</v>
      </c>
      <c r="J259" s="218">
        <v>11330000</v>
      </c>
      <c r="K259" s="218">
        <v>2355850</v>
      </c>
      <c r="L259" s="218">
        <v>6562050</v>
      </c>
      <c r="M259" s="218">
        <v>2355850</v>
      </c>
      <c r="N259" s="218">
        <v>6562050</v>
      </c>
      <c r="O259" s="219">
        <v>0.57920000000000005</v>
      </c>
      <c r="P259" s="8">
        <v>11397012</v>
      </c>
      <c r="Q259" s="183">
        <f t="shared" si="72"/>
        <v>5.8797867370851235E-3</v>
      </c>
      <c r="R259" s="347">
        <v>11397012</v>
      </c>
    </row>
    <row r="260" spans="1:18" s="167" customFormat="1">
      <c r="A260" s="10"/>
      <c r="B260" s="14" t="s">
        <v>732</v>
      </c>
      <c r="C260" s="10" t="s">
        <v>733</v>
      </c>
      <c r="D260" s="25" t="s">
        <v>405</v>
      </c>
      <c r="E260" s="9" t="s">
        <v>734</v>
      </c>
      <c r="F260" s="216">
        <v>36208000</v>
      </c>
      <c r="G260" s="218">
        <v>8670000</v>
      </c>
      <c r="H260" s="218">
        <v>10270000</v>
      </c>
      <c r="I260" s="218">
        <v>46478000</v>
      </c>
      <c r="J260" s="218">
        <v>37808000</v>
      </c>
      <c r="K260" s="218">
        <v>2315400</v>
      </c>
      <c r="L260" s="218">
        <v>20583600</v>
      </c>
      <c r="M260" s="218">
        <v>2315400</v>
      </c>
      <c r="N260" s="218">
        <v>20583600</v>
      </c>
      <c r="O260" s="219">
        <v>0.44290000000000002</v>
      </c>
      <c r="P260" s="8"/>
      <c r="Q260" s="183" t="e">
        <f t="shared" si="72"/>
        <v>#DIV/0!</v>
      </c>
      <c r="R260" s="347"/>
    </row>
    <row r="261" spans="1:18" s="167" customFormat="1">
      <c r="A261" s="10"/>
      <c r="B261" s="14" t="s">
        <v>735</v>
      </c>
      <c r="C261" s="10" t="s">
        <v>736</v>
      </c>
      <c r="D261" s="25" t="s">
        <v>409</v>
      </c>
      <c r="E261" s="9" t="s">
        <v>737</v>
      </c>
      <c r="F261" s="216">
        <v>21385000</v>
      </c>
      <c r="G261" s="218">
        <v>1705354</v>
      </c>
      <c r="H261" s="218">
        <v>1705354</v>
      </c>
      <c r="I261" s="218">
        <v>23090354</v>
      </c>
      <c r="J261" s="218">
        <v>21385000</v>
      </c>
      <c r="K261" s="218">
        <v>2569850</v>
      </c>
      <c r="L261" s="218">
        <v>14988600</v>
      </c>
      <c r="M261" s="218">
        <v>2569850</v>
      </c>
      <c r="N261" s="218">
        <v>14988600</v>
      </c>
      <c r="O261" s="219">
        <v>0.64910000000000001</v>
      </c>
      <c r="P261" s="8">
        <v>28184807</v>
      </c>
      <c r="Q261" s="183">
        <f t="shared" si="72"/>
        <v>0.18075174330624297</v>
      </c>
      <c r="R261" s="347">
        <v>28184807</v>
      </c>
    </row>
    <row r="262" spans="1:18" s="167" customFormat="1">
      <c r="A262" s="10"/>
      <c r="B262" s="14"/>
      <c r="C262" s="10" t="s">
        <v>738</v>
      </c>
      <c r="D262" s="25" t="s">
        <v>419</v>
      </c>
      <c r="E262" s="9" t="s">
        <v>739</v>
      </c>
      <c r="F262" s="215" t="s">
        <v>304</v>
      </c>
      <c r="G262" s="217" t="s">
        <v>48</v>
      </c>
      <c r="H262" s="217" t="s">
        <v>48</v>
      </c>
      <c r="I262" s="217" t="s">
        <v>304</v>
      </c>
      <c r="J262" s="217" t="s">
        <v>305</v>
      </c>
      <c r="K262" s="217" t="s">
        <v>112</v>
      </c>
      <c r="L262" s="217" t="s">
        <v>112</v>
      </c>
      <c r="M262" s="217" t="s">
        <v>113</v>
      </c>
      <c r="N262" s="217" t="s">
        <v>114</v>
      </c>
      <c r="O262" s="219">
        <v>0</v>
      </c>
      <c r="P262" s="8">
        <v>0</v>
      </c>
      <c r="Q262" s="183" t="e">
        <f t="shared" si="72"/>
        <v>#VALUE!</v>
      </c>
      <c r="R262" s="347">
        <v>0</v>
      </c>
    </row>
    <row r="263" spans="1:18">
      <c r="A263" s="67" t="s">
        <v>740</v>
      </c>
      <c r="B263" s="68" t="s">
        <v>741</v>
      </c>
      <c r="C263" s="69" t="s">
        <v>742</v>
      </c>
      <c r="D263" s="70"/>
      <c r="E263" s="27" t="s">
        <v>220</v>
      </c>
      <c r="F263" s="202">
        <v>4614987000</v>
      </c>
      <c r="G263" s="204">
        <v>258764319</v>
      </c>
      <c r="H263" s="204">
        <v>743405641</v>
      </c>
      <c r="I263" s="204">
        <v>5358392641</v>
      </c>
      <c r="J263" s="204">
        <v>5281358842</v>
      </c>
      <c r="K263" s="204">
        <v>263233570</v>
      </c>
      <c r="L263" s="204">
        <v>4679179105</v>
      </c>
      <c r="M263" s="204">
        <v>72862965</v>
      </c>
      <c r="N263" s="204">
        <v>1934729521</v>
      </c>
      <c r="O263" s="205">
        <v>0.87319999999999998</v>
      </c>
      <c r="P263" s="71">
        <f t="shared" ref="G263:P263" si="85">+P264+P281</f>
        <v>5994335025.1900005</v>
      </c>
      <c r="Q263" s="183">
        <f t="shared" si="72"/>
        <v>0.10609056409386182</v>
      </c>
      <c r="R263" s="344">
        <f>+R264+R281</f>
        <v>4878372446</v>
      </c>
    </row>
    <row r="264" spans="1:18" s="166" customFormat="1">
      <c r="A264" s="72" t="s">
        <v>743</v>
      </c>
      <c r="B264" s="73" t="s">
        <v>744</v>
      </c>
      <c r="C264" s="74" t="s">
        <v>745</v>
      </c>
      <c r="D264" s="75"/>
      <c r="E264" s="20" t="s">
        <v>224</v>
      </c>
      <c r="F264" s="206">
        <v>4079487000</v>
      </c>
      <c r="G264" s="208">
        <v>220042757</v>
      </c>
      <c r="H264" s="208">
        <v>643308847</v>
      </c>
      <c r="I264" s="208">
        <v>4722795847</v>
      </c>
      <c r="J264" s="208">
        <v>4647150393</v>
      </c>
      <c r="K264" s="208">
        <v>163039052</v>
      </c>
      <c r="L264" s="208">
        <v>4076777214</v>
      </c>
      <c r="M264" s="208">
        <v>26057330</v>
      </c>
      <c r="N264" s="208">
        <v>1628550855</v>
      </c>
      <c r="O264" s="209">
        <v>0.86319999999999997</v>
      </c>
      <c r="P264" s="76">
        <f t="shared" ref="G264:P264" si="86">+P265+P274</f>
        <v>5289320032.1900005</v>
      </c>
      <c r="Q264" s="183">
        <f t="shared" si="72"/>
        <v>0.1071071861302058</v>
      </c>
      <c r="R264" s="345">
        <f>+R265+R274</f>
        <v>4173357453</v>
      </c>
    </row>
    <row r="265" spans="1:18" s="166" customFormat="1">
      <c r="A265" s="11"/>
      <c r="B265" s="16"/>
      <c r="C265" s="12" t="s">
        <v>746</v>
      </c>
      <c r="D265" s="24"/>
      <c r="E265" s="11" t="s">
        <v>747</v>
      </c>
      <c r="F265" s="211">
        <v>3770748000</v>
      </c>
      <c r="G265" s="213">
        <v>187556879</v>
      </c>
      <c r="H265" s="213">
        <v>605203282</v>
      </c>
      <c r="I265" s="213">
        <v>4375951282</v>
      </c>
      <c r="J265" s="213">
        <v>4333714569</v>
      </c>
      <c r="K265" s="213">
        <v>163911355</v>
      </c>
      <c r="L265" s="213">
        <v>3813253175</v>
      </c>
      <c r="M265" s="213">
        <v>17759954</v>
      </c>
      <c r="N265" s="213">
        <v>1488850950</v>
      </c>
      <c r="O265" s="214">
        <v>0.87139999999999995</v>
      </c>
      <c r="P265" s="13">
        <f t="shared" ref="G265:P265" si="87">SUM(P266:P273)</f>
        <v>4991139372.1900005</v>
      </c>
      <c r="Q265" s="183">
        <f t="shared" si="72"/>
        <v>0.12325604322286632</v>
      </c>
      <c r="R265" s="349">
        <f>SUM(R266:R273)</f>
        <v>3875176793</v>
      </c>
    </row>
    <row r="266" spans="1:18" s="167" customFormat="1">
      <c r="A266" s="10"/>
      <c r="B266" s="14" t="s">
        <v>748</v>
      </c>
      <c r="C266" s="10" t="s">
        <v>749</v>
      </c>
      <c r="D266" s="25" t="s">
        <v>393</v>
      </c>
      <c r="E266" s="9" t="s">
        <v>750</v>
      </c>
      <c r="F266" s="216">
        <v>764834000</v>
      </c>
      <c r="G266" s="218">
        <v>12383950</v>
      </c>
      <c r="H266" s="218">
        <v>70286074</v>
      </c>
      <c r="I266" s="218">
        <v>835120074</v>
      </c>
      <c r="J266" s="218">
        <v>822736124</v>
      </c>
      <c r="K266" s="218">
        <v>5154718</v>
      </c>
      <c r="L266" s="218">
        <v>779332123</v>
      </c>
      <c r="M266" s="218">
        <v>303204</v>
      </c>
      <c r="N266" s="218">
        <v>265097059</v>
      </c>
      <c r="O266" s="219">
        <v>0.93320000000000003</v>
      </c>
      <c r="P266" s="8">
        <v>938637746</v>
      </c>
      <c r="Q266" s="183">
        <f t="shared" si="72"/>
        <v>0.11028500871730339</v>
      </c>
      <c r="R266" s="347">
        <v>938637746</v>
      </c>
    </row>
    <row r="267" spans="1:18" s="167" customFormat="1">
      <c r="A267" s="10"/>
      <c r="B267" s="14" t="s">
        <v>751</v>
      </c>
      <c r="C267" s="10" t="s">
        <v>752</v>
      </c>
      <c r="D267" s="25" t="s">
        <v>397</v>
      </c>
      <c r="E267" s="9" t="s">
        <v>753</v>
      </c>
      <c r="F267" s="216">
        <v>909338000</v>
      </c>
      <c r="G267" s="218">
        <v>13525435</v>
      </c>
      <c r="H267" s="218">
        <v>178023219</v>
      </c>
      <c r="I267" s="218">
        <v>1087361219</v>
      </c>
      <c r="J267" s="218">
        <v>1087361219</v>
      </c>
      <c r="K267" s="218">
        <v>4387170</v>
      </c>
      <c r="L267" s="218">
        <v>864121491</v>
      </c>
      <c r="M267" s="218">
        <v>4540419</v>
      </c>
      <c r="N267" s="218">
        <v>408622371</v>
      </c>
      <c r="O267" s="219">
        <v>0.79469999999999996</v>
      </c>
      <c r="P267" s="8">
        <v>1284548544</v>
      </c>
      <c r="Q267" s="183">
        <f t="shared" si="72"/>
        <v>0.15350710249218888</v>
      </c>
      <c r="R267" s="347">
        <v>1284548544</v>
      </c>
    </row>
    <row r="268" spans="1:18" s="167" customFormat="1">
      <c r="A268" s="10"/>
      <c r="B268" s="14"/>
      <c r="C268" s="10" t="s">
        <v>754</v>
      </c>
      <c r="D268" s="25" t="s">
        <v>401</v>
      </c>
      <c r="E268" s="9" t="s">
        <v>755</v>
      </c>
      <c r="F268" s="215" t="s">
        <v>304</v>
      </c>
      <c r="G268" s="217" t="s">
        <v>48</v>
      </c>
      <c r="H268" s="217" t="s">
        <v>48</v>
      </c>
      <c r="I268" s="217" t="s">
        <v>304</v>
      </c>
      <c r="J268" s="217" t="s">
        <v>305</v>
      </c>
      <c r="K268" s="217" t="s">
        <v>112</v>
      </c>
      <c r="L268" s="217" t="s">
        <v>112</v>
      </c>
      <c r="M268" s="217" t="s">
        <v>113</v>
      </c>
      <c r="N268" s="217" t="s">
        <v>114</v>
      </c>
      <c r="O268" s="219">
        <v>0</v>
      </c>
      <c r="P268" s="8">
        <v>0</v>
      </c>
      <c r="Q268" s="183" t="e">
        <f t="shared" si="72"/>
        <v>#VALUE!</v>
      </c>
      <c r="R268" s="347">
        <v>0</v>
      </c>
    </row>
    <row r="269" spans="1:18" s="167" customFormat="1">
      <c r="A269" s="10"/>
      <c r="B269" s="14" t="s">
        <v>756</v>
      </c>
      <c r="C269" s="10" t="s">
        <v>757</v>
      </c>
      <c r="D269" s="25" t="s">
        <v>405</v>
      </c>
      <c r="E269" s="9" t="s">
        <v>758</v>
      </c>
      <c r="F269" s="216">
        <v>875889000</v>
      </c>
      <c r="G269" s="218">
        <v>25544199</v>
      </c>
      <c r="H269" s="218">
        <v>149480307</v>
      </c>
      <c r="I269" s="218">
        <v>1025369307</v>
      </c>
      <c r="J269" s="218">
        <v>999825108</v>
      </c>
      <c r="K269" s="218">
        <v>-1545921</v>
      </c>
      <c r="L269" s="218">
        <v>882787237</v>
      </c>
      <c r="M269" s="218">
        <v>271189</v>
      </c>
      <c r="N269" s="218">
        <v>335932945</v>
      </c>
      <c r="O269" s="219">
        <v>0.8609</v>
      </c>
      <c r="P269" s="8">
        <v>1115962579.1900001</v>
      </c>
      <c r="Q269" s="183">
        <f t="shared" si="72"/>
        <v>8.1179489240360947E-2</v>
      </c>
      <c r="R269" s="347"/>
    </row>
    <row r="270" spans="1:18" s="167" customFormat="1">
      <c r="A270" s="10"/>
      <c r="B270" s="14" t="s">
        <v>759</v>
      </c>
      <c r="C270" s="10" t="s">
        <v>760</v>
      </c>
      <c r="D270" s="25" t="s">
        <v>409</v>
      </c>
      <c r="E270" s="9" t="s">
        <v>761</v>
      </c>
      <c r="F270" s="216">
        <v>766117000</v>
      </c>
      <c r="G270" s="218">
        <v>124767019</v>
      </c>
      <c r="H270" s="218">
        <v>124767019</v>
      </c>
      <c r="I270" s="218">
        <v>890884019</v>
      </c>
      <c r="J270" s="218">
        <v>890884019</v>
      </c>
      <c r="K270" s="218">
        <v>149209571</v>
      </c>
      <c r="L270" s="218">
        <v>857977591</v>
      </c>
      <c r="M270" s="218">
        <v>8582952</v>
      </c>
      <c r="N270" s="218">
        <v>295894477</v>
      </c>
      <c r="O270" s="219">
        <v>0.96309999999999996</v>
      </c>
      <c r="P270" s="8">
        <v>1006463731</v>
      </c>
      <c r="Q270" s="183">
        <f t="shared" ref="Q270:Q333" si="88">+(P270-I270)/P270</f>
        <v>0.11483743371970549</v>
      </c>
      <c r="R270" s="347">
        <v>1006463731</v>
      </c>
    </row>
    <row r="271" spans="1:18" s="167" customFormat="1">
      <c r="A271" s="10"/>
      <c r="B271" s="14" t="s">
        <v>762</v>
      </c>
      <c r="C271" s="10" t="s">
        <v>763</v>
      </c>
      <c r="D271" s="25" t="s">
        <v>413</v>
      </c>
      <c r="E271" s="9" t="s">
        <v>764</v>
      </c>
      <c r="F271" s="216">
        <v>148118000</v>
      </c>
      <c r="G271" s="218">
        <v>4308564</v>
      </c>
      <c r="H271" s="218">
        <v>4308564</v>
      </c>
      <c r="I271" s="218">
        <v>152426564</v>
      </c>
      <c r="J271" s="218">
        <v>148118000</v>
      </c>
      <c r="K271" s="218">
        <v>214692</v>
      </c>
      <c r="L271" s="218">
        <v>123169284</v>
      </c>
      <c r="M271" s="218">
        <v>4062190</v>
      </c>
      <c r="N271" s="218">
        <v>94318607</v>
      </c>
      <c r="O271" s="219">
        <v>0.80810000000000004</v>
      </c>
      <c r="P271" s="8">
        <f>62184810+155621459</f>
        <v>217806269</v>
      </c>
      <c r="Q271" s="183">
        <f t="shared" si="88"/>
        <v>0.30017366029074216</v>
      </c>
      <c r="R271" s="347">
        <f>62184810+155621459</f>
        <v>217806269</v>
      </c>
    </row>
    <row r="272" spans="1:18" s="167" customFormat="1">
      <c r="A272" s="10"/>
      <c r="B272" s="14" t="s">
        <v>765</v>
      </c>
      <c r="C272" s="10" t="s">
        <v>766</v>
      </c>
      <c r="D272" s="25" t="s">
        <v>419</v>
      </c>
      <c r="E272" s="9" t="s">
        <v>767</v>
      </c>
      <c r="F272" s="216">
        <v>302387000</v>
      </c>
      <c r="G272" s="218">
        <v>7027712</v>
      </c>
      <c r="H272" s="218">
        <v>78338099</v>
      </c>
      <c r="I272" s="218">
        <v>380725099</v>
      </c>
      <c r="J272" s="218">
        <v>380725099</v>
      </c>
      <c r="K272" s="218">
        <v>6491125</v>
      </c>
      <c r="L272" s="218">
        <v>302448746</v>
      </c>
      <c r="M272" s="217" t="s">
        <v>113</v>
      </c>
      <c r="N272" s="218">
        <v>88985491</v>
      </c>
      <c r="O272" s="219">
        <v>0.7944</v>
      </c>
      <c r="P272" s="8">
        <v>427720503</v>
      </c>
      <c r="Q272" s="183">
        <f t="shared" si="88"/>
        <v>0.10987409691697665</v>
      </c>
      <c r="R272" s="347">
        <v>427720503</v>
      </c>
    </row>
    <row r="273" spans="1:18" s="167" customFormat="1">
      <c r="A273" s="10"/>
      <c r="B273" s="14" t="s">
        <v>768</v>
      </c>
      <c r="C273" s="10" t="s">
        <v>769</v>
      </c>
      <c r="D273" s="25" t="s">
        <v>423</v>
      </c>
      <c r="E273" s="9" t="s">
        <v>770</v>
      </c>
      <c r="F273" s="216">
        <v>4065000</v>
      </c>
      <c r="G273" s="217" t="s">
        <v>48</v>
      </c>
      <c r="H273" s="217" t="s">
        <v>48</v>
      </c>
      <c r="I273" s="218">
        <v>4065000</v>
      </c>
      <c r="J273" s="218">
        <v>4065000</v>
      </c>
      <c r="K273" s="217" t="s">
        <v>112</v>
      </c>
      <c r="L273" s="218">
        <v>3416703</v>
      </c>
      <c r="M273" s="217" t="s">
        <v>113</v>
      </c>
      <c r="N273" s="217" t="s">
        <v>114</v>
      </c>
      <c r="O273" s="219">
        <v>0.84050000000000002</v>
      </c>
      <c r="P273" s="8"/>
      <c r="Q273" s="183" t="e">
        <f t="shared" si="88"/>
        <v>#DIV/0!</v>
      </c>
      <c r="R273" s="347"/>
    </row>
    <row r="274" spans="1:18" s="166" customFormat="1">
      <c r="A274" s="11"/>
      <c r="B274" s="16"/>
      <c r="C274" s="12" t="s">
        <v>771</v>
      </c>
      <c r="D274" s="24"/>
      <c r="E274" s="11" t="s">
        <v>772</v>
      </c>
      <c r="F274" s="211">
        <v>308739000</v>
      </c>
      <c r="G274" s="213">
        <v>32485878</v>
      </c>
      <c r="H274" s="213">
        <v>38105565</v>
      </c>
      <c r="I274" s="213">
        <v>346844565</v>
      </c>
      <c r="J274" s="213">
        <v>313435824</v>
      </c>
      <c r="K274" s="213">
        <v>-872303</v>
      </c>
      <c r="L274" s="213">
        <v>263524039</v>
      </c>
      <c r="M274" s="213">
        <v>8297376</v>
      </c>
      <c r="N274" s="213">
        <v>139699905</v>
      </c>
      <c r="O274" s="214">
        <v>0.75980000000000003</v>
      </c>
      <c r="P274" s="13">
        <f t="shared" ref="G274:P274" si="89">SUM(P275:P280)</f>
        <v>298180660</v>
      </c>
      <c r="Q274" s="183">
        <f t="shared" si="88"/>
        <v>-0.16320275433021042</v>
      </c>
      <c r="R274" s="349">
        <f>SUM(R275:R280)</f>
        <v>298180660</v>
      </c>
    </row>
    <row r="275" spans="1:18" s="167" customFormat="1">
      <c r="A275" s="10"/>
      <c r="B275" s="14" t="s">
        <v>773</v>
      </c>
      <c r="C275" s="10" t="s">
        <v>774</v>
      </c>
      <c r="D275" s="25" t="s">
        <v>393</v>
      </c>
      <c r="E275" s="9" t="s">
        <v>775</v>
      </c>
      <c r="F275" s="216">
        <v>65246000</v>
      </c>
      <c r="G275" s="217" t="s">
        <v>48</v>
      </c>
      <c r="H275" s="218">
        <v>4500000</v>
      </c>
      <c r="I275" s="218">
        <v>69746000</v>
      </c>
      <c r="J275" s="218">
        <v>69746000</v>
      </c>
      <c r="K275" s="218">
        <v>-4271589</v>
      </c>
      <c r="L275" s="218">
        <v>53544782</v>
      </c>
      <c r="M275" s="218">
        <v>2326143</v>
      </c>
      <c r="N275" s="218">
        <v>30402120</v>
      </c>
      <c r="O275" s="219">
        <v>0.76770000000000005</v>
      </c>
      <c r="P275" s="8">
        <v>81971603</v>
      </c>
      <c r="Q275" s="183">
        <f t="shared" si="88"/>
        <v>0.14914436893469071</v>
      </c>
      <c r="R275" s="347">
        <v>81971603</v>
      </c>
    </row>
    <row r="276" spans="1:18" s="167" customFormat="1">
      <c r="A276" s="10"/>
      <c r="B276" s="14" t="s">
        <v>776</v>
      </c>
      <c r="C276" s="10" t="s">
        <v>777</v>
      </c>
      <c r="D276" s="25" t="s">
        <v>397</v>
      </c>
      <c r="E276" s="9" t="s">
        <v>778</v>
      </c>
      <c r="F276" s="216">
        <v>166404000</v>
      </c>
      <c r="G276" s="218">
        <v>20895668</v>
      </c>
      <c r="H276" s="218">
        <v>20895668</v>
      </c>
      <c r="I276" s="218">
        <v>187299668</v>
      </c>
      <c r="J276" s="218">
        <v>166404000</v>
      </c>
      <c r="K276" s="218">
        <v>-407674</v>
      </c>
      <c r="L276" s="218">
        <v>144645302</v>
      </c>
      <c r="M276" s="218">
        <v>935253</v>
      </c>
      <c r="N276" s="218">
        <v>70540608</v>
      </c>
      <c r="O276" s="219">
        <v>0.77229999999999999</v>
      </c>
      <c r="P276" s="8">
        <v>181297114</v>
      </c>
      <c r="Q276" s="183">
        <f t="shared" si="88"/>
        <v>-3.3108932997135299E-2</v>
      </c>
      <c r="R276" s="347">
        <v>181297114</v>
      </c>
    </row>
    <row r="277" spans="1:18" s="167" customFormat="1">
      <c r="A277" s="10"/>
      <c r="B277" s="14"/>
      <c r="C277" s="10" t="s">
        <v>779</v>
      </c>
      <c r="D277" s="25" t="s">
        <v>401</v>
      </c>
      <c r="E277" s="9" t="s">
        <v>780</v>
      </c>
      <c r="F277" s="215" t="s">
        <v>304</v>
      </c>
      <c r="G277" s="217" t="s">
        <v>48</v>
      </c>
      <c r="H277" s="217" t="s">
        <v>48</v>
      </c>
      <c r="I277" s="217" t="s">
        <v>304</v>
      </c>
      <c r="J277" s="217" t="s">
        <v>305</v>
      </c>
      <c r="K277" s="217" t="s">
        <v>112</v>
      </c>
      <c r="L277" s="217" t="s">
        <v>112</v>
      </c>
      <c r="M277" s="217" t="s">
        <v>113</v>
      </c>
      <c r="N277" s="217" t="s">
        <v>114</v>
      </c>
      <c r="O277" s="219">
        <v>0</v>
      </c>
      <c r="P277" s="8">
        <v>0</v>
      </c>
      <c r="Q277" s="183" t="e">
        <f t="shared" si="88"/>
        <v>#VALUE!</v>
      </c>
      <c r="R277" s="347">
        <v>0</v>
      </c>
    </row>
    <row r="278" spans="1:18" s="167" customFormat="1">
      <c r="A278" s="10"/>
      <c r="B278" s="14" t="s">
        <v>781</v>
      </c>
      <c r="C278" s="10" t="s">
        <v>782</v>
      </c>
      <c r="D278" s="25" t="s">
        <v>405</v>
      </c>
      <c r="E278" s="9" t="s">
        <v>783</v>
      </c>
      <c r="F278" s="216">
        <v>53607000</v>
      </c>
      <c r="G278" s="218">
        <v>10739906</v>
      </c>
      <c r="H278" s="218">
        <v>10739906</v>
      </c>
      <c r="I278" s="218">
        <v>64346906</v>
      </c>
      <c r="J278" s="218">
        <v>53607000</v>
      </c>
      <c r="K278" s="218">
        <v>2757798</v>
      </c>
      <c r="L278" s="218">
        <v>41755131</v>
      </c>
      <c r="M278" s="218">
        <v>719426</v>
      </c>
      <c r="N278" s="218">
        <v>20807858</v>
      </c>
      <c r="O278" s="219">
        <v>0.64890000000000003</v>
      </c>
      <c r="P278" s="8"/>
      <c r="Q278" s="183" t="e">
        <f t="shared" si="88"/>
        <v>#DIV/0!</v>
      </c>
      <c r="R278" s="347"/>
    </row>
    <row r="279" spans="1:18" s="167" customFormat="1">
      <c r="A279" s="10"/>
      <c r="B279" s="14" t="s">
        <v>784</v>
      </c>
      <c r="C279" s="10" t="s">
        <v>785</v>
      </c>
      <c r="D279" s="25" t="s">
        <v>409</v>
      </c>
      <c r="E279" s="9" t="s">
        <v>786</v>
      </c>
      <c r="F279" s="216">
        <v>23482000</v>
      </c>
      <c r="G279" s="218">
        <v>850304</v>
      </c>
      <c r="H279" s="218">
        <v>1969991</v>
      </c>
      <c r="I279" s="218">
        <v>25451991</v>
      </c>
      <c r="J279" s="218">
        <v>23678824</v>
      </c>
      <c r="K279" s="218">
        <v>1049162</v>
      </c>
      <c r="L279" s="218">
        <v>23578824</v>
      </c>
      <c r="M279" s="218">
        <v>4316554</v>
      </c>
      <c r="N279" s="218">
        <v>17949319</v>
      </c>
      <c r="O279" s="219">
        <v>0.9264</v>
      </c>
      <c r="P279" s="8">
        <v>34911943</v>
      </c>
      <c r="Q279" s="183">
        <f t="shared" si="88"/>
        <v>0.27096607026426456</v>
      </c>
      <c r="R279" s="347">
        <v>34911943</v>
      </c>
    </row>
    <row r="280" spans="1:18" s="167" customFormat="1">
      <c r="A280" s="10"/>
      <c r="B280" s="14"/>
      <c r="C280" s="10" t="s">
        <v>787</v>
      </c>
      <c r="D280" s="25" t="s">
        <v>419</v>
      </c>
      <c r="E280" s="9" t="s">
        <v>788</v>
      </c>
      <c r="F280" s="215" t="s">
        <v>304</v>
      </c>
      <c r="G280" s="217" t="s">
        <v>48</v>
      </c>
      <c r="H280" s="217" t="s">
        <v>48</v>
      </c>
      <c r="I280" s="217" t="s">
        <v>304</v>
      </c>
      <c r="J280" s="217" t="s">
        <v>305</v>
      </c>
      <c r="K280" s="217" t="s">
        <v>112</v>
      </c>
      <c r="L280" s="217" t="s">
        <v>112</v>
      </c>
      <c r="M280" s="217" t="s">
        <v>113</v>
      </c>
      <c r="N280" s="217" t="s">
        <v>114</v>
      </c>
      <c r="O280" s="219">
        <v>0</v>
      </c>
      <c r="P280" s="8">
        <v>0</v>
      </c>
      <c r="Q280" s="183" t="e">
        <f t="shared" si="88"/>
        <v>#VALUE!</v>
      </c>
      <c r="R280" s="347">
        <v>0</v>
      </c>
    </row>
    <row r="281" spans="1:18" s="166" customFormat="1">
      <c r="A281" s="72" t="s">
        <v>789</v>
      </c>
      <c r="B281" s="73" t="s">
        <v>790</v>
      </c>
      <c r="C281" s="74" t="s">
        <v>791</v>
      </c>
      <c r="D281" s="75"/>
      <c r="E281" s="20" t="s">
        <v>237</v>
      </c>
      <c r="F281" s="206">
        <v>535500000</v>
      </c>
      <c r="G281" s="208">
        <v>38721562</v>
      </c>
      <c r="H281" s="208">
        <v>100096794</v>
      </c>
      <c r="I281" s="208">
        <v>635596794</v>
      </c>
      <c r="J281" s="208">
        <v>634208449</v>
      </c>
      <c r="K281" s="208">
        <v>100194518</v>
      </c>
      <c r="L281" s="208">
        <v>602401891</v>
      </c>
      <c r="M281" s="208">
        <v>46805635</v>
      </c>
      <c r="N281" s="208">
        <v>306178666</v>
      </c>
      <c r="O281" s="209">
        <v>0.94779999999999998</v>
      </c>
      <c r="P281" s="76">
        <f t="shared" ref="G281:P281" si="90">+P282+P291</f>
        <v>705014993</v>
      </c>
      <c r="Q281" s="183">
        <f t="shared" si="88"/>
        <v>9.8463436507370841E-2</v>
      </c>
      <c r="R281" s="345">
        <f>+R282+R291</f>
        <v>705014993</v>
      </c>
    </row>
    <row r="282" spans="1:18" s="166" customFormat="1">
      <c r="A282" s="11"/>
      <c r="B282" s="16"/>
      <c r="C282" s="12" t="s">
        <v>792</v>
      </c>
      <c r="D282" s="24"/>
      <c r="E282" s="11" t="s">
        <v>793</v>
      </c>
      <c r="F282" s="211">
        <v>522118000</v>
      </c>
      <c r="G282" s="213">
        <v>38721562</v>
      </c>
      <c r="H282" s="213">
        <v>100096794</v>
      </c>
      <c r="I282" s="213">
        <v>622214794</v>
      </c>
      <c r="J282" s="213">
        <v>622214794</v>
      </c>
      <c r="K282" s="213">
        <v>100434327</v>
      </c>
      <c r="L282" s="213">
        <v>590648045</v>
      </c>
      <c r="M282" s="213">
        <v>44827215</v>
      </c>
      <c r="N282" s="213">
        <v>299580704</v>
      </c>
      <c r="O282" s="214">
        <v>0.94930000000000003</v>
      </c>
      <c r="P282" s="13">
        <f t="shared" ref="G282:P282" si="91">SUM(P283:P290)</f>
        <v>690919743</v>
      </c>
      <c r="Q282" s="183">
        <f t="shared" si="88"/>
        <v>9.9439840438891619E-2</v>
      </c>
      <c r="R282" s="349">
        <f>SUM(R283:R290)</f>
        <v>690919743</v>
      </c>
    </row>
    <row r="283" spans="1:18" s="167" customFormat="1">
      <c r="A283" s="10"/>
      <c r="B283" s="14"/>
      <c r="C283" s="10" t="s">
        <v>794</v>
      </c>
      <c r="D283" s="25" t="s">
        <v>393</v>
      </c>
      <c r="E283" s="9" t="s">
        <v>795</v>
      </c>
      <c r="F283" s="215" t="s">
        <v>304</v>
      </c>
      <c r="G283" s="217" t="s">
        <v>48</v>
      </c>
      <c r="H283" s="217" t="s">
        <v>48</v>
      </c>
      <c r="I283" s="217" t="s">
        <v>304</v>
      </c>
      <c r="J283" s="217" t="s">
        <v>305</v>
      </c>
      <c r="K283" s="217" t="s">
        <v>112</v>
      </c>
      <c r="L283" s="217" t="s">
        <v>112</v>
      </c>
      <c r="M283" s="217" t="s">
        <v>113</v>
      </c>
      <c r="N283" s="217" t="s">
        <v>114</v>
      </c>
      <c r="O283" s="232">
        <v>0</v>
      </c>
      <c r="P283" s="8">
        <v>0</v>
      </c>
      <c r="Q283" s="183" t="e">
        <f t="shared" si="88"/>
        <v>#VALUE!</v>
      </c>
      <c r="R283" s="347">
        <v>0</v>
      </c>
    </row>
    <row r="284" spans="1:18" s="167" customFormat="1">
      <c r="A284" s="10"/>
      <c r="B284" s="14"/>
      <c r="C284" s="10" t="s">
        <v>796</v>
      </c>
      <c r="D284" s="25" t="s">
        <v>397</v>
      </c>
      <c r="E284" s="9" t="s">
        <v>797</v>
      </c>
      <c r="F284" s="215" t="s">
        <v>304</v>
      </c>
      <c r="G284" s="217" t="s">
        <v>48</v>
      </c>
      <c r="H284" s="217" t="s">
        <v>48</v>
      </c>
      <c r="I284" s="217" t="s">
        <v>304</v>
      </c>
      <c r="J284" s="217" t="s">
        <v>305</v>
      </c>
      <c r="K284" s="217" t="s">
        <v>112</v>
      </c>
      <c r="L284" s="217" t="s">
        <v>112</v>
      </c>
      <c r="M284" s="217" t="s">
        <v>113</v>
      </c>
      <c r="N284" s="217" t="s">
        <v>114</v>
      </c>
      <c r="O284" s="219">
        <v>0</v>
      </c>
      <c r="P284" s="8">
        <v>0</v>
      </c>
      <c r="Q284" s="183" t="e">
        <f t="shared" si="88"/>
        <v>#VALUE!</v>
      </c>
      <c r="R284" s="347">
        <v>0</v>
      </c>
    </row>
    <row r="285" spans="1:18" s="167" customFormat="1">
      <c r="A285" s="10"/>
      <c r="B285" s="14" t="s">
        <v>798</v>
      </c>
      <c r="C285" s="10" t="s">
        <v>799</v>
      </c>
      <c r="D285" s="25" t="s">
        <v>401</v>
      </c>
      <c r="E285" s="9" t="s">
        <v>800</v>
      </c>
      <c r="F285" s="216">
        <v>522118000</v>
      </c>
      <c r="G285" s="218">
        <v>38721562</v>
      </c>
      <c r="H285" s="218">
        <v>100096794</v>
      </c>
      <c r="I285" s="218">
        <v>622214794</v>
      </c>
      <c r="J285" s="218">
        <v>622214794</v>
      </c>
      <c r="K285" s="218">
        <v>100434327</v>
      </c>
      <c r="L285" s="218">
        <v>590648045</v>
      </c>
      <c r="M285" s="218">
        <v>44827215</v>
      </c>
      <c r="N285" s="218">
        <v>299580704</v>
      </c>
      <c r="O285" s="219">
        <v>0.94930000000000003</v>
      </c>
      <c r="P285" s="8">
        <v>690919743</v>
      </c>
      <c r="Q285" s="183">
        <f t="shared" si="88"/>
        <v>9.9439840438891619E-2</v>
      </c>
      <c r="R285" s="347">
        <v>690919743</v>
      </c>
    </row>
    <row r="286" spans="1:18" s="167" customFormat="1">
      <c r="A286" s="10"/>
      <c r="B286" s="14"/>
      <c r="C286" s="10" t="s">
        <v>801</v>
      </c>
      <c r="D286" s="25" t="s">
        <v>405</v>
      </c>
      <c r="E286" s="9" t="s">
        <v>802</v>
      </c>
      <c r="F286" s="215" t="s">
        <v>304</v>
      </c>
      <c r="G286" s="217" t="s">
        <v>48</v>
      </c>
      <c r="H286" s="217" t="s">
        <v>48</v>
      </c>
      <c r="I286" s="217" t="s">
        <v>304</v>
      </c>
      <c r="J286" s="217" t="s">
        <v>305</v>
      </c>
      <c r="K286" s="217" t="s">
        <v>112</v>
      </c>
      <c r="L286" s="217" t="s">
        <v>112</v>
      </c>
      <c r="M286" s="217" t="s">
        <v>113</v>
      </c>
      <c r="N286" s="217" t="s">
        <v>114</v>
      </c>
      <c r="O286" s="219">
        <v>0</v>
      </c>
      <c r="P286" s="8">
        <v>0</v>
      </c>
      <c r="Q286" s="183" t="e">
        <f t="shared" si="88"/>
        <v>#VALUE!</v>
      </c>
      <c r="R286" s="347"/>
    </row>
    <row r="287" spans="1:18" s="167" customFormat="1">
      <c r="A287" s="10"/>
      <c r="B287" s="14"/>
      <c r="C287" s="10" t="s">
        <v>803</v>
      </c>
      <c r="D287" s="25" t="s">
        <v>409</v>
      </c>
      <c r="E287" s="9" t="s">
        <v>804</v>
      </c>
      <c r="F287" s="215" t="s">
        <v>304</v>
      </c>
      <c r="G287" s="217" t="s">
        <v>48</v>
      </c>
      <c r="H287" s="217" t="s">
        <v>48</v>
      </c>
      <c r="I287" s="217" t="s">
        <v>304</v>
      </c>
      <c r="J287" s="217" t="s">
        <v>305</v>
      </c>
      <c r="K287" s="217" t="s">
        <v>112</v>
      </c>
      <c r="L287" s="217" t="s">
        <v>112</v>
      </c>
      <c r="M287" s="217" t="s">
        <v>113</v>
      </c>
      <c r="N287" s="217" t="s">
        <v>114</v>
      </c>
      <c r="O287" s="219">
        <v>0</v>
      </c>
      <c r="P287" s="8">
        <v>0</v>
      </c>
      <c r="Q287" s="183" t="e">
        <f t="shared" si="88"/>
        <v>#VALUE!</v>
      </c>
      <c r="R287" s="347">
        <v>0</v>
      </c>
    </row>
    <row r="288" spans="1:18" s="167" customFormat="1">
      <c r="A288" s="10"/>
      <c r="B288" s="14"/>
      <c r="C288" s="10" t="s">
        <v>805</v>
      </c>
      <c r="D288" s="25" t="s">
        <v>413</v>
      </c>
      <c r="E288" s="9" t="s">
        <v>806</v>
      </c>
      <c r="F288" s="215" t="s">
        <v>304</v>
      </c>
      <c r="G288" s="217" t="s">
        <v>48</v>
      </c>
      <c r="H288" s="217" t="s">
        <v>48</v>
      </c>
      <c r="I288" s="217" t="s">
        <v>304</v>
      </c>
      <c r="J288" s="217" t="s">
        <v>305</v>
      </c>
      <c r="K288" s="217" t="s">
        <v>112</v>
      </c>
      <c r="L288" s="217" t="s">
        <v>112</v>
      </c>
      <c r="M288" s="217" t="s">
        <v>113</v>
      </c>
      <c r="N288" s="217" t="s">
        <v>114</v>
      </c>
      <c r="O288" s="219">
        <v>0</v>
      </c>
      <c r="P288" s="8">
        <v>0</v>
      </c>
      <c r="Q288" s="183" t="e">
        <f t="shared" si="88"/>
        <v>#VALUE!</v>
      </c>
      <c r="R288" s="347">
        <v>0</v>
      </c>
    </row>
    <row r="289" spans="1:18" s="167" customFormat="1">
      <c r="A289" s="10"/>
      <c r="B289" s="14"/>
      <c r="C289" s="10" t="s">
        <v>807</v>
      </c>
      <c r="D289" s="25" t="s">
        <v>419</v>
      </c>
      <c r="E289" s="9" t="s">
        <v>808</v>
      </c>
      <c r="F289" s="215" t="s">
        <v>304</v>
      </c>
      <c r="G289" s="217" t="s">
        <v>48</v>
      </c>
      <c r="H289" s="217" t="s">
        <v>48</v>
      </c>
      <c r="I289" s="217" t="s">
        <v>304</v>
      </c>
      <c r="J289" s="217" t="s">
        <v>305</v>
      </c>
      <c r="K289" s="217" t="s">
        <v>112</v>
      </c>
      <c r="L289" s="217" t="s">
        <v>112</v>
      </c>
      <c r="M289" s="217" t="s">
        <v>113</v>
      </c>
      <c r="N289" s="217" t="s">
        <v>114</v>
      </c>
      <c r="O289" s="219">
        <v>0</v>
      </c>
      <c r="P289" s="8"/>
      <c r="Q289" s="183" t="e">
        <f t="shared" si="88"/>
        <v>#VALUE!</v>
      </c>
      <c r="R289" s="347"/>
    </row>
    <row r="290" spans="1:18" s="167" customFormat="1">
      <c r="A290" s="10"/>
      <c r="B290" s="14"/>
      <c r="C290" s="10" t="s">
        <v>809</v>
      </c>
      <c r="D290" s="25" t="s">
        <v>423</v>
      </c>
      <c r="E290" s="9" t="s">
        <v>810</v>
      </c>
      <c r="F290" s="215" t="s">
        <v>304</v>
      </c>
      <c r="G290" s="217" t="s">
        <v>48</v>
      </c>
      <c r="H290" s="217" t="s">
        <v>48</v>
      </c>
      <c r="I290" s="217" t="s">
        <v>304</v>
      </c>
      <c r="J290" s="217" t="s">
        <v>305</v>
      </c>
      <c r="K290" s="217" t="s">
        <v>112</v>
      </c>
      <c r="L290" s="217" t="s">
        <v>112</v>
      </c>
      <c r="M290" s="217" t="s">
        <v>113</v>
      </c>
      <c r="N290" s="217" t="s">
        <v>114</v>
      </c>
      <c r="O290" s="219">
        <v>0</v>
      </c>
      <c r="P290" s="8">
        <v>0</v>
      </c>
      <c r="Q290" s="183" t="e">
        <f t="shared" si="88"/>
        <v>#VALUE!</v>
      </c>
      <c r="R290" s="347">
        <v>0</v>
      </c>
    </row>
    <row r="291" spans="1:18" s="166" customFormat="1">
      <c r="A291" s="11"/>
      <c r="B291" s="16"/>
      <c r="C291" s="12" t="s">
        <v>811</v>
      </c>
      <c r="D291" s="24"/>
      <c r="E291" s="11" t="s">
        <v>812</v>
      </c>
      <c r="F291" s="211">
        <v>13382000</v>
      </c>
      <c r="G291" s="212" t="s">
        <v>35</v>
      </c>
      <c r="H291" s="212" t="s">
        <v>35</v>
      </c>
      <c r="I291" s="213">
        <v>13382000</v>
      </c>
      <c r="J291" s="213">
        <v>11993655</v>
      </c>
      <c r="K291" s="213">
        <v>-239809</v>
      </c>
      <c r="L291" s="213">
        <v>11753846</v>
      </c>
      <c r="M291" s="213">
        <v>1978420</v>
      </c>
      <c r="N291" s="213">
        <v>6597962</v>
      </c>
      <c r="O291" s="214">
        <v>0.87829999999999997</v>
      </c>
      <c r="P291" s="13">
        <f t="shared" ref="G291:P291" si="92">SUM(P292:P297)</f>
        <v>14095250</v>
      </c>
      <c r="Q291" s="183">
        <f t="shared" si="88"/>
        <v>5.0602153207640874E-2</v>
      </c>
      <c r="R291" s="349">
        <f>SUM(R292:R297)</f>
        <v>14095250</v>
      </c>
    </row>
    <row r="292" spans="1:18" s="167" customFormat="1">
      <c r="A292" s="10"/>
      <c r="B292" s="14"/>
      <c r="C292" s="10" t="s">
        <v>813</v>
      </c>
      <c r="D292" s="25" t="s">
        <v>393</v>
      </c>
      <c r="E292" s="9" t="s">
        <v>814</v>
      </c>
      <c r="F292" s="215" t="s">
        <v>304</v>
      </c>
      <c r="G292" s="217" t="s">
        <v>48</v>
      </c>
      <c r="H292" s="217" t="s">
        <v>48</v>
      </c>
      <c r="I292" s="217" t="s">
        <v>304</v>
      </c>
      <c r="J292" s="217" t="s">
        <v>305</v>
      </c>
      <c r="K292" s="217" t="s">
        <v>112</v>
      </c>
      <c r="L292" s="217" t="s">
        <v>112</v>
      </c>
      <c r="M292" s="217" t="s">
        <v>113</v>
      </c>
      <c r="N292" s="217" t="s">
        <v>114</v>
      </c>
      <c r="O292" s="219">
        <v>0</v>
      </c>
      <c r="P292" s="8">
        <v>0</v>
      </c>
      <c r="Q292" s="183" t="e">
        <f t="shared" si="88"/>
        <v>#VALUE!</v>
      </c>
      <c r="R292" s="347">
        <v>0</v>
      </c>
    </row>
    <row r="293" spans="1:18" s="167" customFormat="1">
      <c r="A293" s="10"/>
      <c r="B293" s="14"/>
      <c r="C293" s="10" t="s">
        <v>815</v>
      </c>
      <c r="D293" s="25" t="s">
        <v>397</v>
      </c>
      <c r="E293" s="9" t="s">
        <v>816</v>
      </c>
      <c r="F293" s="215" t="s">
        <v>304</v>
      </c>
      <c r="G293" s="217" t="s">
        <v>48</v>
      </c>
      <c r="H293" s="217" t="s">
        <v>48</v>
      </c>
      <c r="I293" s="217" t="s">
        <v>304</v>
      </c>
      <c r="J293" s="217" t="s">
        <v>305</v>
      </c>
      <c r="K293" s="217" t="s">
        <v>112</v>
      </c>
      <c r="L293" s="217" t="s">
        <v>112</v>
      </c>
      <c r="M293" s="217" t="s">
        <v>113</v>
      </c>
      <c r="N293" s="217" t="s">
        <v>114</v>
      </c>
      <c r="O293" s="219">
        <v>0</v>
      </c>
      <c r="P293" s="8">
        <v>0</v>
      </c>
      <c r="Q293" s="183" t="e">
        <f t="shared" si="88"/>
        <v>#VALUE!</v>
      </c>
      <c r="R293" s="347">
        <v>0</v>
      </c>
    </row>
    <row r="294" spans="1:18" s="167" customFormat="1">
      <c r="A294" s="10"/>
      <c r="B294" s="14" t="s">
        <v>817</v>
      </c>
      <c r="C294" s="10" t="s">
        <v>818</v>
      </c>
      <c r="D294" s="25" t="s">
        <v>401</v>
      </c>
      <c r="E294" s="9" t="s">
        <v>819</v>
      </c>
      <c r="F294" s="216">
        <v>13382000</v>
      </c>
      <c r="G294" s="217" t="s">
        <v>48</v>
      </c>
      <c r="H294" s="217" t="s">
        <v>48</v>
      </c>
      <c r="I294" s="218">
        <v>13382000</v>
      </c>
      <c r="J294" s="218">
        <v>11993655</v>
      </c>
      <c r="K294" s="218">
        <v>-239809</v>
      </c>
      <c r="L294" s="218">
        <v>11753846</v>
      </c>
      <c r="M294" s="218">
        <v>1978420</v>
      </c>
      <c r="N294" s="218">
        <v>6597962</v>
      </c>
      <c r="O294" s="219">
        <v>0.87829999999999997</v>
      </c>
      <c r="P294" s="8">
        <v>14095250</v>
      </c>
      <c r="Q294" s="183">
        <f t="shared" si="88"/>
        <v>5.0602153207640874E-2</v>
      </c>
      <c r="R294" s="347">
        <v>14095250</v>
      </c>
    </row>
    <row r="295" spans="1:18" s="167" customFormat="1">
      <c r="A295" s="10"/>
      <c r="B295" s="14"/>
      <c r="C295" s="10" t="s">
        <v>820</v>
      </c>
      <c r="D295" s="25" t="s">
        <v>405</v>
      </c>
      <c r="E295" s="9" t="s">
        <v>821</v>
      </c>
      <c r="F295" s="215" t="s">
        <v>304</v>
      </c>
      <c r="G295" s="217" t="s">
        <v>48</v>
      </c>
      <c r="H295" s="217" t="s">
        <v>48</v>
      </c>
      <c r="I295" s="217" t="s">
        <v>304</v>
      </c>
      <c r="J295" s="217" t="s">
        <v>305</v>
      </c>
      <c r="K295" s="217" t="s">
        <v>112</v>
      </c>
      <c r="L295" s="217" t="s">
        <v>112</v>
      </c>
      <c r="M295" s="217" t="s">
        <v>113</v>
      </c>
      <c r="N295" s="217" t="s">
        <v>114</v>
      </c>
      <c r="O295" s="219">
        <v>0</v>
      </c>
      <c r="P295" s="8"/>
      <c r="Q295" s="183" t="e">
        <f t="shared" si="88"/>
        <v>#VALUE!</v>
      </c>
      <c r="R295" s="347"/>
    </row>
    <row r="296" spans="1:18" s="167" customFormat="1">
      <c r="A296" s="10"/>
      <c r="B296" s="14"/>
      <c r="C296" s="10" t="s">
        <v>822</v>
      </c>
      <c r="D296" s="25" t="s">
        <v>409</v>
      </c>
      <c r="E296" s="9" t="s">
        <v>823</v>
      </c>
      <c r="F296" s="215" t="s">
        <v>304</v>
      </c>
      <c r="G296" s="217" t="s">
        <v>48</v>
      </c>
      <c r="H296" s="217" t="s">
        <v>48</v>
      </c>
      <c r="I296" s="217" t="s">
        <v>304</v>
      </c>
      <c r="J296" s="217" t="s">
        <v>305</v>
      </c>
      <c r="K296" s="217" t="s">
        <v>112</v>
      </c>
      <c r="L296" s="217" t="s">
        <v>112</v>
      </c>
      <c r="M296" s="217" t="s">
        <v>113</v>
      </c>
      <c r="N296" s="217" t="s">
        <v>114</v>
      </c>
      <c r="O296" s="219">
        <v>0</v>
      </c>
      <c r="P296" s="8">
        <v>0</v>
      </c>
      <c r="Q296" s="183" t="e">
        <f t="shared" si="88"/>
        <v>#VALUE!</v>
      </c>
      <c r="R296" s="347">
        <v>0</v>
      </c>
    </row>
    <row r="297" spans="1:18" s="167" customFormat="1">
      <c r="A297" s="10"/>
      <c r="B297" s="14"/>
      <c r="C297" s="10" t="s">
        <v>824</v>
      </c>
      <c r="D297" s="25" t="s">
        <v>419</v>
      </c>
      <c r="E297" s="9" t="s">
        <v>825</v>
      </c>
      <c r="F297" s="215" t="s">
        <v>304</v>
      </c>
      <c r="G297" s="217" t="s">
        <v>48</v>
      </c>
      <c r="H297" s="217" t="s">
        <v>48</v>
      </c>
      <c r="I297" s="217" t="s">
        <v>304</v>
      </c>
      <c r="J297" s="217" t="s">
        <v>305</v>
      </c>
      <c r="K297" s="217" t="s">
        <v>112</v>
      </c>
      <c r="L297" s="217" t="s">
        <v>112</v>
      </c>
      <c r="M297" s="217" t="s">
        <v>113</v>
      </c>
      <c r="N297" s="217" t="s">
        <v>114</v>
      </c>
      <c r="O297" s="219">
        <v>0</v>
      </c>
      <c r="P297" s="8">
        <v>0</v>
      </c>
      <c r="Q297" s="183" t="e">
        <f t="shared" si="88"/>
        <v>#VALUE!</v>
      </c>
      <c r="R297" s="347">
        <v>0</v>
      </c>
    </row>
    <row r="298" spans="1:18">
      <c r="A298" s="67" t="s">
        <v>826</v>
      </c>
      <c r="B298" s="68" t="s">
        <v>827</v>
      </c>
      <c r="C298" s="69" t="s">
        <v>828</v>
      </c>
      <c r="D298" s="70"/>
      <c r="E298" s="27" t="s">
        <v>250</v>
      </c>
      <c r="F298" s="202">
        <v>2051348000</v>
      </c>
      <c r="G298" s="204">
        <v>49674501</v>
      </c>
      <c r="H298" s="204">
        <v>287914309</v>
      </c>
      <c r="I298" s="204">
        <v>2339262309</v>
      </c>
      <c r="J298" s="204">
        <v>2114798932</v>
      </c>
      <c r="K298" s="204">
        <v>175662097</v>
      </c>
      <c r="L298" s="204">
        <v>1189841297</v>
      </c>
      <c r="M298" s="204">
        <v>175662097</v>
      </c>
      <c r="N298" s="204">
        <v>1189841297</v>
      </c>
      <c r="O298" s="205">
        <v>0.50860000000000005</v>
      </c>
      <c r="P298" s="71">
        <f t="shared" ref="G298:P298" si="93">+P299</f>
        <v>2312645540.1399999</v>
      </c>
      <c r="Q298" s="183">
        <f t="shared" si="88"/>
        <v>-1.1509229753552654E-2</v>
      </c>
      <c r="R298" s="344">
        <f>+R299</f>
        <v>1919158193</v>
      </c>
    </row>
    <row r="299" spans="1:18" s="166" customFormat="1">
      <c r="A299" s="72" t="s">
        <v>829</v>
      </c>
      <c r="B299" s="73" t="s">
        <v>830</v>
      </c>
      <c r="C299" s="74" t="s">
        <v>831</v>
      </c>
      <c r="D299" s="75"/>
      <c r="E299" s="20" t="s">
        <v>254</v>
      </c>
      <c r="F299" s="206">
        <v>2051348000</v>
      </c>
      <c r="G299" s="208">
        <v>49674501</v>
      </c>
      <c r="H299" s="208">
        <v>287914309</v>
      </c>
      <c r="I299" s="208">
        <v>2339262309</v>
      </c>
      <c r="J299" s="208">
        <v>2114798932</v>
      </c>
      <c r="K299" s="208">
        <v>175662097</v>
      </c>
      <c r="L299" s="208">
        <v>1189841297</v>
      </c>
      <c r="M299" s="208">
        <v>175662097</v>
      </c>
      <c r="N299" s="208">
        <v>1189841297</v>
      </c>
      <c r="O299" s="209">
        <v>0.50860000000000005</v>
      </c>
      <c r="P299" s="76">
        <f t="shared" ref="G299:P299" si="94">+P300+P309</f>
        <v>2312645540.1399999</v>
      </c>
      <c r="Q299" s="183">
        <f t="shared" si="88"/>
        <v>-1.1509229753552654E-2</v>
      </c>
      <c r="R299" s="345">
        <f>+R300+R309</f>
        <v>1919158193</v>
      </c>
    </row>
    <row r="300" spans="1:18" s="166" customFormat="1">
      <c r="A300" s="11"/>
      <c r="B300" s="16"/>
      <c r="C300" s="12" t="s">
        <v>832</v>
      </c>
      <c r="D300" s="24"/>
      <c r="E300" s="11" t="s">
        <v>833</v>
      </c>
      <c r="F300" s="211">
        <v>1913931000</v>
      </c>
      <c r="G300" s="213">
        <v>44754975</v>
      </c>
      <c r="H300" s="213">
        <v>281394783</v>
      </c>
      <c r="I300" s="213">
        <v>2195325783</v>
      </c>
      <c r="J300" s="213">
        <v>1975781932</v>
      </c>
      <c r="K300" s="213">
        <v>165421997</v>
      </c>
      <c r="L300" s="213">
        <v>1119634447</v>
      </c>
      <c r="M300" s="213">
        <v>165421997</v>
      </c>
      <c r="N300" s="213">
        <v>1119634447</v>
      </c>
      <c r="O300" s="214">
        <v>0.51</v>
      </c>
      <c r="P300" s="13">
        <f t="shared" ref="G300:P300" si="95">SUM(P301:P308)</f>
        <v>2184125116.1399999</v>
      </c>
      <c r="Q300" s="183">
        <f t="shared" si="88"/>
        <v>-5.1282166837562171E-3</v>
      </c>
      <c r="R300" s="349">
        <f>SUM(R301:R308)</f>
        <v>1790637769</v>
      </c>
    </row>
    <row r="301" spans="1:18" s="167" customFormat="1">
      <c r="A301" s="10"/>
      <c r="B301" s="14" t="s">
        <v>834</v>
      </c>
      <c r="C301" s="10" t="s">
        <v>835</v>
      </c>
      <c r="D301" s="25" t="s">
        <v>393</v>
      </c>
      <c r="E301" s="9" t="s">
        <v>836</v>
      </c>
      <c r="F301" s="216">
        <v>342385000</v>
      </c>
      <c r="G301" s="217" t="s">
        <v>48</v>
      </c>
      <c r="H301" s="218">
        <v>14822509</v>
      </c>
      <c r="I301" s="218">
        <v>357207509</v>
      </c>
      <c r="J301" s="218">
        <v>357207509</v>
      </c>
      <c r="K301" s="218">
        <v>32450460</v>
      </c>
      <c r="L301" s="218">
        <v>191208910</v>
      </c>
      <c r="M301" s="218">
        <v>32450460</v>
      </c>
      <c r="N301" s="218">
        <v>191208910</v>
      </c>
      <c r="O301" s="219">
        <v>0.5353</v>
      </c>
      <c r="P301" s="8">
        <v>374292788</v>
      </c>
      <c r="Q301" s="183">
        <f t="shared" si="88"/>
        <v>4.5646829294504067E-2</v>
      </c>
      <c r="R301" s="347">
        <v>374292788</v>
      </c>
    </row>
    <row r="302" spans="1:18" s="167" customFormat="1">
      <c r="A302" s="10"/>
      <c r="B302" s="14" t="s">
        <v>837</v>
      </c>
      <c r="C302" s="10" t="s">
        <v>838</v>
      </c>
      <c r="D302" s="25" t="s">
        <v>397</v>
      </c>
      <c r="E302" s="9" t="s">
        <v>839</v>
      </c>
      <c r="F302" s="216">
        <v>405859000</v>
      </c>
      <c r="G302" s="218">
        <v>24637511</v>
      </c>
      <c r="H302" s="218">
        <v>103703816</v>
      </c>
      <c r="I302" s="218">
        <v>509562816</v>
      </c>
      <c r="J302" s="218">
        <v>509562816</v>
      </c>
      <c r="K302" s="218">
        <v>39410084</v>
      </c>
      <c r="L302" s="218">
        <v>249990234</v>
      </c>
      <c r="M302" s="218">
        <v>39410084</v>
      </c>
      <c r="N302" s="218">
        <v>249990234</v>
      </c>
      <c r="O302" s="219">
        <v>0.49059999999999998</v>
      </c>
      <c r="P302" s="8">
        <v>515556422</v>
      </c>
      <c r="Q302" s="183">
        <f t="shared" si="88"/>
        <v>1.1625509341439258E-2</v>
      </c>
      <c r="R302" s="347">
        <v>515556422</v>
      </c>
    </row>
    <row r="303" spans="1:18" s="167" customFormat="1">
      <c r="A303" s="10"/>
      <c r="B303" s="14" t="s">
        <v>840</v>
      </c>
      <c r="C303" s="10" t="s">
        <v>841</v>
      </c>
      <c r="D303" s="25" t="s">
        <v>401</v>
      </c>
      <c r="E303" s="9" t="s">
        <v>842</v>
      </c>
      <c r="F303" s="216">
        <v>233047000</v>
      </c>
      <c r="G303" s="217" t="s">
        <v>48</v>
      </c>
      <c r="H303" s="218">
        <v>30687616</v>
      </c>
      <c r="I303" s="218">
        <v>263734616</v>
      </c>
      <c r="J303" s="218">
        <v>233047000</v>
      </c>
      <c r="K303" s="218">
        <v>22579262</v>
      </c>
      <c r="L303" s="218">
        <v>146540112</v>
      </c>
      <c r="M303" s="218">
        <v>22579262</v>
      </c>
      <c r="N303" s="218">
        <v>146540112</v>
      </c>
      <c r="O303" s="219">
        <v>0.55559999999999998</v>
      </c>
      <c r="P303" s="8">
        <v>274584959</v>
      </c>
      <c r="Q303" s="183">
        <f t="shared" si="88"/>
        <v>3.951543099634966E-2</v>
      </c>
      <c r="R303" s="347">
        <v>274584959</v>
      </c>
    </row>
    <row r="304" spans="1:18" s="167" customFormat="1">
      <c r="A304" s="10"/>
      <c r="B304" s="14" t="s">
        <v>843</v>
      </c>
      <c r="C304" s="10" t="s">
        <v>844</v>
      </c>
      <c r="D304" s="25" t="s">
        <v>405</v>
      </c>
      <c r="E304" s="9" t="s">
        <v>845</v>
      </c>
      <c r="F304" s="216">
        <v>398301000</v>
      </c>
      <c r="G304" s="218">
        <v>9704026</v>
      </c>
      <c r="H304" s="218">
        <v>79648072</v>
      </c>
      <c r="I304" s="218">
        <v>477949072</v>
      </c>
      <c r="J304" s="218">
        <v>398301000</v>
      </c>
      <c r="K304" s="218">
        <v>34999989</v>
      </c>
      <c r="L304" s="218">
        <v>217527189</v>
      </c>
      <c r="M304" s="218">
        <v>34999989</v>
      </c>
      <c r="N304" s="218">
        <v>217527189</v>
      </c>
      <c r="O304" s="219">
        <v>0.4551</v>
      </c>
      <c r="P304" s="8">
        <v>393487347.13999999</v>
      </c>
      <c r="Q304" s="183">
        <f t="shared" si="88"/>
        <v>-0.21464915066239509</v>
      </c>
      <c r="R304" s="347"/>
    </row>
    <row r="305" spans="1:18" s="167" customFormat="1">
      <c r="A305" s="10"/>
      <c r="B305" s="14" t="s">
        <v>846</v>
      </c>
      <c r="C305" s="10" t="s">
        <v>847</v>
      </c>
      <c r="D305" s="25" t="s">
        <v>409</v>
      </c>
      <c r="E305" s="9" t="s">
        <v>848</v>
      </c>
      <c r="F305" s="216">
        <v>333913000</v>
      </c>
      <c r="G305" s="218">
        <v>5585789</v>
      </c>
      <c r="H305" s="218">
        <v>3632110</v>
      </c>
      <c r="I305" s="218">
        <v>337545110</v>
      </c>
      <c r="J305" s="218">
        <v>331959321</v>
      </c>
      <c r="K305" s="218">
        <v>16183800</v>
      </c>
      <c r="L305" s="218">
        <v>195724300</v>
      </c>
      <c r="M305" s="218">
        <v>16183800</v>
      </c>
      <c r="N305" s="218">
        <v>195724300</v>
      </c>
      <c r="O305" s="219">
        <v>0.57979999999999998</v>
      </c>
      <c r="P305" s="8">
        <v>369844679</v>
      </c>
      <c r="Q305" s="183">
        <f t="shared" si="88"/>
        <v>8.7332793558995619E-2</v>
      </c>
      <c r="R305" s="347">
        <v>369844679</v>
      </c>
    </row>
    <row r="306" spans="1:18" s="167" customFormat="1">
      <c r="A306" s="10"/>
      <c r="B306" s="14" t="s">
        <v>849</v>
      </c>
      <c r="C306" s="10" t="s">
        <v>850</v>
      </c>
      <c r="D306" s="25" t="s">
        <v>413</v>
      </c>
      <c r="E306" s="9" t="s">
        <v>851</v>
      </c>
      <c r="F306" s="216">
        <v>66261000</v>
      </c>
      <c r="G306" s="218">
        <v>1794997</v>
      </c>
      <c r="H306" s="218">
        <v>1794997</v>
      </c>
      <c r="I306" s="218">
        <v>68055997</v>
      </c>
      <c r="J306" s="218">
        <v>66261000</v>
      </c>
      <c r="K306" s="218">
        <v>5829766</v>
      </c>
      <c r="L306" s="218">
        <v>40782666</v>
      </c>
      <c r="M306" s="218">
        <v>5829766</v>
      </c>
      <c r="N306" s="218">
        <v>40782666</v>
      </c>
      <c r="O306" s="219">
        <v>0.59930000000000005</v>
      </c>
      <c r="P306" s="8">
        <f>25592106+64045882</f>
        <v>89637988</v>
      </c>
      <c r="Q306" s="183">
        <f t="shared" si="88"/>
        <v>0.24076835593409349</v>
      </c>
      <c r="R306" s="347">
        <f>25592106+64045882</f>
        <v>89637988</v>
      </c>
    </row>
    <row r="307" spans="1:18" s="167" customFormat="1">
      <c r="A307" s="10"/>
      <c r="B307" s="14" t="s">
        <v>852</v>
      </c>
      <c r="C307" s="10" t="s">
        <v>853</v>
      </c>
      <c r="D307" s="25" t="s">
        <v>419</v>
      </c>
      <c r="E307" s="9" t="s">
        <v>854</v>
      </c>
      <c r="F307" s="216">
        <v>132350000</v>
      </c>
      <c r="G307" s="218">
        <v>3032652</v>
      </c>
      <c r="H307" s="218">
        <v>47105663</v>
      </c>
      <c r="I307" s="218">
        <v>179455663</v>
      </c>
      <c r="J307" s="218">
        <v>77628286</v>
      </c>
      <c r="K307" s="218">
        <v>13735886</v>
      </c>
      <c r="L307" s="218">
        <v>77628286</v>
      </c>
      <c r="M307" s="218">
        <v>13735886</v>
      </c>
      <c r="N307" s="218">
        <v>77628286</v>
      </c>
      <c r="O307" s="219">
        <v>0.43259999999999998</v>
      </c>
      <c r="P307" s="8">
        <v>166720933</v>
      </c>
      <c r="Q307" s="183">
        <f t="shared" si="88"/>
        <v>-7.6383509682014558E-2</v>
      </c>
      <c r="R307" s="347">
        <v>166720933</v>
      </c>
    </row>
    <row r="308" spans="1:18" s="167" customFormat="1">
      <c r="A308" s="10"/>
      <c r="B308" s="14" t="s">
        <v>855</v>
      </c>
      <c r="C308" s="10" t="s">
        <v>856</v>
      </c>
      <c r="D308" s="25" t="s">
        <v>423</v>
      </c>
      <c r="E308" s="9" t="s">
        <v>857</v>
      </c>
      <c r="F308" s="216">
        <v>1815000</v>
      </c>
      <c r="G308" s="217" t="s">
        <v>48</v>
      </c>
      <c r="H308" s="217" t="s">
        <v>48</v>
      </c>
      <c r="I308" s="218">
        <v>1815000</v>
      </c>
      <c r="J308" s="218">
        <v>1815000</v>
      </c>
      <c r="K308" s="218">
        <v>232750</v>
      </c>
      <c r="L308" s="218">
        <v>232750</v>
      </c>
      <c r="M308" s="218">
        <v>232750</v>
      </c>
      <c r="N308" s="218">
        <v>232750</v>
      </c>
      <c r="O308" s="219">
        <v>0.12820000000000001</v>
      </c>
      <c r="P308" s="8"/>
      <c r="Q308" s="183" t="e">
        <f t="shared" si="88"/>
        <v>#DIV/0!</v>
      </c>
      <c r="R308" s="347"/>
    </row>
    <row r="309" spans="1:18" s="166" customFormat="1">
      <c r="A309" s="11"/>
      <c r="B309" s="16"/>
      <c r="C309" s="12" t="s">
        <v>858</v>
      </c>
      <c r="D309" s="24"/>
      <c r="E309" s="11" t="s">
        <v>859</v>
      </c>
      <c r="F309" s="211">
        <v>137417000</v>
      </c>
      <c r="G309" s="213">
        <v>4919526</v>
      </c>
      <c r="H309" s="213">
        <v>6519526</v>
      </c>
      <c r="I309" s="213">
        <v>143936526</v>
      </c>
      <c r="J309" s="213">
        <v>139017000</v>
      </c>
      <c r="K309" s="213">
        <v>10240100</v>
      </c>
      <c r="L309" s="213">
        <v>70206850</v>
      </c>
      <c r="M309" s="213">
        <v>10240100</v>
      </c>
      <c r="N309" s="213">
        <v>70206850</v>
      </c>
      <c r="O309" s="214">
        <v>0.48780000000000001</v>
      </c>
      <c r="P309" s="13">
        <f t="shared" ref="G309:P309" si="96">SUM(P310:P315)</f>
        <v>128520424</v>
      </c>
      <c r="Q309" s="183">
        <f t="shared" si="88"/>
        <v>-0.11995060022522179</v>
      </c>
      <c r="R309" s="349">
        <f>SUM(R310:R315)</f>
        <v>128520424</v>
      </c>
    </row>
    <row r="310" spans="1:18" s="167" customFormat="1">
      <c r="A310" s="10"/>
      <c r="B310" s="14" t="s">
        <v>860</v>
      </c>
      <c r="C310" s="10" t="s">
        <v>861</v>
      </c>
      <c r="D310" s="25" t="s">
        <v>393</v>
      </c>
      <c r="E310" s="9" t="s">
        <v>862</v>
      </c>
      <c r="F310" s="216">
        <v>29363000</v>
      </c>
      <c r="G310" s="217" t="s">
        <v>48</v>
      </c>
      <c r="H310" s="217" t="s">
        <v>48</v>
      </c>
      <c r="I310" s="218">
        <v>29363000</v>
      </c>
      <c r="J310" s="218">
        <v>29363000</v>
      </c>
      <c r="K310" s="218">
        <v>1916050</v>
      </c>
      <c r="L310" s="218">
        <v>14273100</v>
      </c>
      <c r="M310" s="218">
        <v>1916050</v>
      </c>
      <c r="N310" s="218">
        <v>14273100</v>
      </c>
      <c r="O310" s="219">
        <v>0.48609999999999998</v>
      </c>
      <c r="P310" s="8">
        <v>33736274</v>
      </c>
      <c r="Q310" s="183">
        <f t="shared" si="88"/>
        <v>0.12963120942164508</v>
      </c>
      <c r="R310" s="347">
        <v>33736274</v>
      </c>
    </row>
    <row r="311" spans="1:18" s="167" customFormat="1">
      <c r="A311" s="10"/>
      <c r="B311" s="14" t="s">
        <v>863</v>
      </c>
      <c r="C311" s="10" t="s">
        <v>864</v>
      </c>
      <c r="D311" s="25" t="s">
        <v>397</v>
      </c>
      <c r="E311" s="9" t="s">
        <v>865</v>
      </c>
      <c r="F311" s="216">
        <v>74274000</v>
      </c>
      <c r="G311" s="217" t="s">
        <v>48</v>
      </c>
      <c r="H311" s="217" t="s">
        <v>48</v>
      </c>
      <c r="I311" s="218">
        <v>74274000</v>
      </c>
      <c r="J311" s="218">
        <v>74274000</v>
      </c>
      <c r="K311" s="218">
        <v>4869300</v>
      </c>
      <c r="L311" s="218">
        <v>35372300</v>
      </c>
      <c r="M311" s="218">
        <v>4869300</v>
      </c>
      <c r="N311" s="218">
        <v>35372300</v>
      </c>
      <c r="O311" s="219">
        <v>0.47620000000000001</v>
      </c>
      <c r="P311" s="8">
        <v>74614724</v>
      </c>
      <c r="Q311" s="183">
        <f t="shared" si="88"/>
        <v>4.5664445532224984E-3</v>
      </c>
      <c r="R311" s="347">
        <v>74614724</v>
      </c>
    </row>
    <row r="312" spans="1:18" s="167" customFormat="1">
      <c r="A312" s="10"/>
      <c r="B312" s="14" t="s">
        <v>866</v>
      </c>
      <c r="C312" s="10" t="s">
        <v>867</v>
      </c>
      <c r="D312" s="25" t="s">
        <v>401</v>
      </c>
      <c r="E312" s="9" t="s">
        <v>868</v>
      </c>
      <c r="F312" s="216">
        <v>5553000</v>
      </c>
      <c r="G312" s="217" t="s">
        <v>48</v>
      </c>
      <c r="H312" s="217" t="s">
        <v>48</v>
      </c>
      <c r="I312" s="218">
        <v>5553000</v>
      </c>
      <c r="J312" s="218">
        <v>5553000</v>
      </c>
      <c r="K312" s="218">
        <v>1154450</v>
      </c>
      <c r="L312" s="218">
        <v>3216900</v>
      </c>
      <c r="M312" s="218">
        <v>1154450</v>
      </c>
      <c r="N312" s="218">
        <v>3216900</v>
      </c>
      <c r="O312" s="219">
        <v>0.57930000000000004</v>
      </c>
      <c r="P312" s="8">
        <v>5801049</v>
      </c>
      <c r="Q312" s="183">
        <f t="shared" si="88"/>
        <v>4.2759335423644927E-2</v>
      </c>
      <c r="R312" s="347">
        <v>5801049</v>
      </c>
    </row>
    <row r="313" spans="1:18" s="167" customFormat="1">
      <c r="A313" s="10"/>
      <c r="B313" s="14" t="s">
        <v>869</v>
      </c>
      <c r="C313" s="10" t="s">
        <v>870</v>
      </c>
      <c r="D313" s="25" t="s">
        <v>405</v>
      </c>
      <c r="E313" s="9" t="s">
        <v>871</v>
      </c>
      <c r="F313" s="216">
        <v>17746000</v>
      </c>
      <c r="G313" s="218">
        <v>4080000</v>
      </c>
      <c r="H313" s="218">
        <v>5680000</v>
      </c>
      <c r="I313" s="218">
        <v>23426000</v>
      </c>
      <c r="J313" s="218">
        <v>19346000</v>
      </c>
      <c r="K313" s="218">
        <v>1090700</v>
      </c>
      <c r="L313" s="218">
        <v>10047050</v>
      </c>
      <c r="M313" s="218">
        <v>1090700</v>
      </c>
      <c r="N313" s="218">
        <v>10047050</v>
      </c>
      <c r="O313" s="219">
        <v>0.4289</v>
      </c>
      <c r="P313" s="8"/>
      <c r="Q313" s="183" t="e">
        <f t="shared" si="88"/>
        <v>#DIV/0!</v>
      </c>
      <c r="R313" s="347"/>
    </row>
    <row r="314" spans="1:18" s="167" customFormat="1">
      <c r="A314" s="10"/>
      <c r="B314" s="14" t="s">
        <v>872</v>
      </c>
      <c r="C314" s="10" t="s">
        <v>873</v>
      </c>
      <c r="D314" s="25" t="s">
        <v>409</v>
      </c>
      <c r="E314" s="9" t="s">
        <v>874</v>
      </c>
      <c r="F314" s="216">
        <v>10481000</v>
      </c>
      <c r="G314" s="218">
        <v>839526</v>
      </c>
      <c r="H314" s="218">
        <v>839526</v>
      </c>
      <c r="I314" s="218">
        <v>11320526</v>
      </c>
      <c r="J314" s="218">
        <v>10481000</v>
      </c>
      <c r="K314" s="218">
        <v>1209600</v>
      </c>
      <c r="L314" s="218">
        <v>7297500</v>
      </c>
      <c r="M314" s="218">
        <v>1209600</v>
      </c>
      <c r="N314" s="218">
        <v>7297500</v>
      </c>
      <c r="O314" s="219">
        <v>0.64459999999999995</v>
      </c>
      <c r="P314" s="8">
        <v>14368377</v>
      </c>
      <c r="Q314" s="183">
        <f t="shared" si="88"/>
        <v>0.21212214852101946</v>
      </c>
      <c r="R314" s="347">
        <v>14368377</v>
      </c>
    </row>
    <row r="315" spans="1:18" s="167" customFormat="1">
      <c r="A315" s="10"/>
      <c r="B315" s="14"/>
      <c r="C315" s="10" t="s">
        <v>875</v>
      </c>
      <c r="D315" s="25" t="s">
        <v>419</v>
      </c>
      <c r="E315" s="9" t="s">
        <v>876</v>
      </c>
      <c r="F315" s="215" t="s">
        <v>304</v>
      </c>
      <c r="G315" s="217" t="s">
        <v>48</v>
      </c>
      <c r="H315" s="217" t="s">
        <v>48</v>
      </c>
      <c r="I315" s="217" t="s">
        <v>304</v>
      </c>
      <c r="J315" s="217" t="s">
        <v>305</v>
      </c>
      <c r="K315" s="217" t="s">
        <v>112</v>
      </c>
      <c r="L315" s="217" t="s">
        <v>112</v>
      </c>
      <c r="M315" s="217" t="s">
        <v>113</v>
      </c>
      <c r="N315" s="217" t="s">
        <v>114</v>
      </c>
      <c r="O315" s="219">
        <v>0</v>
      </c>
      <c r="P315" s="8">
        <v>0</v>
      </c>
      <c r="Q315" s="183" t="e">
        <f t="shared" si="88"/>
        <v>#VALUE!</v>
      </c>
      <c r="R315" s="347">
        <v>0</v>
      </c>
    </row>
    <row r="316" spans="1:18">
      <c r="A316" s="67" t="s">
        <v>877</v>
      </c>
      <c r="B316" s="68" t="s">
        <v>878</v>
      </c>
      <c r="C316" s="69" t="s">
        <v>879</v>
      </c>
      <c r="D316" s="70"/>
      <c r="E316" s="27" t="s">
        <v>267</v>
      </c>
      <c r="F316" s="202">
        <v>257804000</v>
      </c>
      <c r="G316" s="204">
        <v>21207512</v>
      </c>
      <c r="H316" s="204">
        <v>61996869</v>
      </c>
      <c r="I316" s="204">
        <v>319800869</v>
      </c>
      <c r="J316" s="204">
        <v>283526671</v>
      </c>
      <c r="K316" s="204">
        <v>21272197</v>
      </c>
      <c r="L316" s="204">
        <v>150270097</v>
      </c>
      <c r="M316" s="204">
        <v>21272197</v>
      </c>
      <c r="N316" s="204">
        <v>150270097</v>
      </c>
      <c r="O316" s="205">
        <v>0.46989999999999998</v>
      </c>
      <c r="P316" s="71">
        <f t="shared" ref="G316:P316" si="97">+P317</f>
        <v>234977732</v>
      </c>
      <c r="Q316" s="183">
        <f t="shared" si="88"/>
        <v>-0.36098372504506088</v>
      </c>
      <c r="R316" s="344">
        <f>+R317</f>
        <v>234977732</v>
      </c>
    </row>
    <row r="317" spans="1:18" s="166" customFormat="1">
      <c r="A317" s="72" t="s">
        <v>880</v>
      </c>
      <c r="B317" s="73" t="s">
        <v>881</v>
      </c>
      <c r="C317" s="74" t="s">
        <v>882</v>
      </c>
      <c r="D317" s="75"/>
      <c r="E317" s="20" t="s">
        <v>271</v>
      </c>
      <c r="F317" s="206">
        <v>257804000</v>
      </c>
      <c r="G317" s="208">
        <v>21207512</v>
      </c>
      <c r="H317" s="208">
        <v>61996869</v>
      </c>
      <c r="I317" s="208">
        <v>319800869</v>
      </c>
      <c r="J317" s="208">
        <v>283526671</v>
      </c>
      <c r="K317" s="208">
        <v>21272197</v>
      </c>
      <c r="L317" s="208">
        <v>150270097</v>
      </c>
      <c r="M317" s="208">
        <v>21272197</v>
      </c>
      <c r="N317" s="208">
        <v>150270097</v>
      </c>
      <c r="O317" s="209">
        <v>0.46989999999999998</v>
      </c>
      <c r="P317" s="76">
        <f t="shared" ref="G317:P317" si="98">+P318+P327</f>
        <v>234977732</v>
      </c>
      <c r="Q317" s="183">
        <f t="shared" si="88"/>
        <v>-0.36098372504506088</v>
      </c>
      <c r="R317" s="345">
        <f>+R318+R327</f>
        <v>234977732</v>
      </c>
    </row>
    <row r="318" spans="1:18" s="166" customFormat="1">
      <c r="A318" s="11"/>
      <c r="B318" s="16"/>
      <c r="C318" s="12" t="s">
        <v>883</v>
      </c>
      <c r="D318" s="24"/>
      <c r="E318" s="11" t="s">
        <v>884</v>
      </c>
      <c r="F318" s="211">
        <v>240209000</v>
      </c>
      <c r="G318" s="213">
        <v>20569648</v>
      </c>
      <c r="H318" s="213">
        <v>61359005</v>
      </c>
      <c r="I318" s="213">
        <v>301568005</v>
      </c>
      <c r="J318" s="213">
        <v>265931671</v>
      </c>
      <c r="K318" s="213">
        <v>19939747</v>
      </c>
      <c r="L318" s="213">
        <v>141388247</v>
      </c>
      <c r="M318" s="213">
        <v>19939747</v>
      </c>
      <c r="N318" s="213">
        <v>141388247</v>
      </c>
      <c r="O318" s="214">
        <v>0.46879999999999999</v>
      </c>
      <c r="P318" s="13">
        <f t="shared" ref="G318:P318" si="99">SUM(P319:P326)</f>
        <v>219495932</v>
      </c>
      <c r="Q318" s="183">
        <f t="shared" si="88"/>
        <v>-0.37391159030683085</v>
      </c>
      <c r="R318" s="349">
        <f>SUM(R319:R326)</f>
        <v>219495932</v>
      </c>
    </row>
    <row r="319" spans="1:18" s="167" customFormat="1">
      <c r="A319" s="10"/>
      <c r="B319" s="14" t="s">
        <v>885</v>
      </c>
      <c r="C319" s="10" t="s">
        <v>886</v>
      </c>
      <c r="D319" s="25" t="s">
        <v>393</v>
      </c>
      <c r="E319" s="9" t="s">
        <v>887</v>
      </c>
      <c r="F319" s="216">
        <v>42910000</v>
      </c>
      <c r="G319" s="217" t="s">
        <v>48</v>
      </c>
      <c r="H319" s="218">
        <v>5763830</v>
      </c>
      <c r="I319" s="218">
        <v>48673830</v>
      </c>
      <c r="J319" s="218">
        <v>48673830</v>
      </c>
      <c r="K319" s="218">
        <v>4005630</v>
      </c>
      <c r="L319" s="218">
        <v>24273630</v>
      </c>
      <c r="M319" s="218">
        <v>4005630</v>
      </c>
      <c r="N319" s="218">
        <v>24273630</v>
      </c>
      <c r="O319" s="219">
        <v>0.49869999999999998</v>
      </c>
      <c r="P319" s="8">
        <v>44956614</v>
      </c>
      <c r="Q319" s="183">
        <f t="shared" si="88"/>
        <v>-8.2684518900822915E-2</v>
      </c>
      <c r="R319" s="347">
        <v>44956614</v>
      </c>
    </row>
    <row r="320" spans="1:18" s="167" customFormat="1">
      <c r="A320" s="10"/>
      <c r="B320" s="14" t="s">
        <v>888</v>
      </c>
      <c r="C320" s="10" t="s">
        <v>889</v>
      </c>
      <c r="D320" s="25" t="s">
        <v>397</v>
      </c>
      <c r="E320" s="9" t="s">
        <v>890</v>
      </c>
      <c r="F320" s="216">
        <v>50855000</v>
      </c>
      <c r="G320" s="218">
        <v>17011102</v>
      </c>
      <c r="H320" s="218">
        <v>26947466</v>
      </c>
      <c r="I320" s="218">
        <v>77802466</v>
      </c>
      <c r="J320" s="218">
        <v>77802466</v>
      </c>
      <c r="K320" s="218">
        <v>4671343</v>
      </c>
      <c r="L320" s="218">
        <v>31433193</v>
      </c>
      <c r="M320" s="218">
        <v>4671343</v>
      </c>
      <c r="N320" s="218">
        <v>31433193</v>
      </c>
      <c r="O320" s="219">
        <v>0.40400000000000003</v>
      </c>
      <c r="P320" s="8">
        <v>61962345</v>
      </c>
      <c r="Q320" s="183">
        <f t="shared" si="88"/>
        <v>-0.25564108330632096</v>
      </c>
      <c r="R320" s="347">
        <v>61962345</v>
      </c>
    </row>
    <row r="321" spans="1:18" s="167" customFormat="1">
      <c r="A321" s="10"/>
      <c r="B321" s="14" t="s">
        <v>891</v>
      </c>
      <c r="C321" s="10" t="s">
        <v>892</v>
      </c>
      <c r="D321" s="25" t="s">
        <v>401</v>
      </c>
      <c r="E321" s="9" t="s">
        <v>893</v>
      </c>
      <c r="F321" s="216">
        <v>29201000</v>
      </c>
      <c r="G321" s="217" t="s">
        <v>48</v>
      </c>
      <c r="H321" s="218">
        <v>10229205</v>
      </c>
      <c r="I321" s="218">
        <v>39430205</v>
      </c>
      <c r="J321" s="218">
        <v>29201000</v>
      </c>
      <c r="K321" s="218">
        <v>2624499</v>
      </c>
      <c r="L321" s="218">
        <v>18363349</v>
      </c>
      <c r="M321" s="218">
        <v>2624499</v>
      </c>
      <c r="N321" s="218">
        <v>18363349</v>
      </c>
      <c r="O321" s="219">
        <v>0.4657</v>
      </c>
      <c r="P321" s="8">
        <v>32970672</v>
      </c>
      <c r="Q321" s="183">
        <f t="shared" si="88"/>
        <v>-0.1959175415047652</v>
      </c>
      <c r="R321" s="347">
        <v>32970672</v>
      </c>
    </row>
    <row r="322" spans="1:18" s="167" customFormat="1">
      <c r="A322" s="10"/>
      <c r="B322" s="14" t="s">
        <v>894</v>
      </c>
      <c r="C322" s="10" t="s">
        <v>895</v>
      </c>
      <c r="D322" s="25" t="s">
        <v>405</v>
      </c>
      <c r="E322" s="9" t="s">
        <v>896</v>
      </c>
      <c r="F322" s="216">
        <v>49976000</v>
      </c>
      <c r="G322" s="218">
        <v>1266376</v>
      </c>
      <c r="H322" s="218">
        <v>10602874</v>
      </c>
      <c r="I322" s="218">
        <v>60578874</v>
      </c>
      <c r="J322" s="218">
        <v>49976000</v>
      </c>
      <c r="K322" s="218">
        <v>4187652</v>
      </c>
      <c r="L322" s="218">
        <v>27433202</v>
      </c>
      <c r="M322" s="218">
        <v>4187652</v>
      </c>
      <c r="N322" s="218">
        <v>27433202</v>
      </c>
      <c r="O322" s="219">
        <v>0.45290000000000002</v>
      </c>
      <c r="P322" s="8"/>
      <c r="Q322" s="183" t="e">
        <f t="shared" si="88"/>
        <v>#DIV/0!</v>
      </c>
      <c r="R322" s="347"/>
    </row>
    <row r="323" spans="1:18" s="167" customFormat="1">
      <c r="A323" s="10"/>
      <c r="B323" s="14" t="s">
        <v>897</v>
      </c>
      <c r="C323" s="10" t="s">
        <v>898</v>
      </c>
      <c r="D323" s="25" t="s">
        <v>409</v>
      </c>
      <c r="E323" s="9" t="s">
        <v>899</v>
      </c>
      <c r="F323" s="216">
        <v>41842000</v>
      </c>
      <c r="G323" s="218">
        <v>1658615</v>
      </c>
      <c r="H323" s="218">
        <v>1658615</v>
      </c>
      <c r="I323" s="218">
        <v>43500615</v>
      </c>
      <c r="J323" s="218">
        <v>41842000</v>
      </c>
      <c r="K323" s="218">
        <v>2118800</v>
      </c>
      <c r="L323" s="218">
        <v>24947850</v>
      </c>
      <c r="M323" s="218">
        <v>2118800</v>
      </c>
      <c r="N323" s="218">
        <v>24947850</v>
      </c>
      <c r="O323" s="219">
        <v>0.57350000000000001</v>
      </c>
      <c r="P323" s="8">
        <v>48264731</v>
      </c>
      <c r="Q323" s="183">
        <f t="shared" si="88"/>
        <v>9.8708019319531687E-2</v>
      </c>
      <c r="R323" s="347">
        <v>48264731</v>
      </c>
    </row>
    <row r="324" spans="1:18" s="167" customFormat="1">
      <c r="A324" s="10"/>
      <c r="B324" s="14" t="s">
        <v>900</v>
      </c>
      <c r="C324" s="10" t="s">
        <v>901</v>
      </c>
      <c r="D324" s="25" t="s">
        <v>413</v>
      </c>
      <c r="E324" s="9" t="s">
        <v>902</v>
      </c>
      <c r="F324" s="216">
        <v>8303000</v>
      </c>
      <c r="G324" s="218">
        <v>249442</v>
      </c>
      <c r="H324" s="218">
        <v>249442</v>
      </c>
      <c r="I324" s="218">
        <v>8552442</v>
      </c>
      <c r="J324" s="218">
        <v>8303000</v>
      </c>
      <c r="K324" s="218">
        <v>593748</v>
      </c>
      <c r="L324" s="218">
        <v>5000098</v>
      </c>
      <c r="M324" s="218">
        <v>593748</v>
      </c>
      <c r="N324" s="218">
        <v>5000098</v>
      </c>
      <c r="O324" s="219">
        <v>0.58460000000000001</v>
      </c>
      <c r="P324" s="8">
        <f>3082866+7715066</f>
        <v>10797932</v>
      </c>
      <c r="Q324" s="183">
        <f t="shared" si="88"/>
        <v>0.20795556037952453</v>
      </c>
      <c r="R324" s="347">
        <f>3082866+7715066</f>
        <v>10797932</v>
      </c>
    </row>
    <row r="325" spans="1:18" s="167" customFormat="1">
      <c r="A325" s="10"/>
      <c r="B325" s="14" t="s">
        <v>903</v>
      </c>
      <c r="C325" s="10" t="s">
        <v>904</v>
      </c>
      <c r="D325" s="25" t="s">
        <v>419</v>
      </c>
      <c r="E325" s="9" t="s">
        <v>905</v>
      </c>
      <c r="F325" s="216">
        <v>16895000</v>
      </c>
      <c r="G325" s="218">
        <v>384113</v>
      </c>
      <c r="H325" s="218">
        <v>5907573</v>
      </c>
      <c r="I325" s="218">
        <v>22802573</v>
      </c>
      <c r="J325" s="218">
        <v>9906375</v>
      </c>
      <c r="K325" s="218">
        <v>1707525</v>
      </c>
      <c r="L325" s="218">
        <v>9906375</v>
      </c>
      <c r="M325" s="218">
        <v>1707525</v>
      </c>
      <c r="N325" s="218">
        <v>9906375</v>
      </c>
      <c r="O325" s="219">
        <v>0.43440000000000001</v>
      </c>
      <c r="P325" s="8">
        <v>20543638</v>
      </c>
      <c r="Q325" s="183">
        <f t="shared" si="88"/>
        <v>-0.10995788574545561</v>
      </c>
      <c r="R325" s="347">
        <v>20543638</v>
      </c>
    </row>
    <row r="326" spans="1:18" s="167" customFormat="1">
      <c r="A326" s="10"/>
      <c r="B326" s="14" t="s">
        <v>906</v>
      </c>
      <c r="C326" s="10" t="s">
        <v>907</v>
      </c>
      <c r="D326" s="25" t="s">
        <v>423</v>
      </c>
      <c r="E326" s="9" t="s">
        <v>908</v>
      </c>
      <c r="F326" s="216">
        <v>227000</v>
      </c>
      <c r="G326" s="217" t="s">
        <v>48</v>
      </c>
      <c r="H326" s="217" t="s">
        <v>48</v>
      </c>
      <c r="I326" s="218">
        <v>227000</v>
      </c>
      <c r="J326" s="218">
        <v>227000</v>
      </c>
      <c r="K326" s="218">
        <v>30550</v>
      </c>
      <c r="L326" s="218">
        <v>30550</v>
      </c>
      <c r="M326" s="218">
        <v>30550</v>
      </c>
      <c r="N326" s="218">
        <v>30550</v>
      </c>
      <c r="O326" s="219">
        <v>0.1346</v>
      </c>
      <c r="P326" s="8"/>
      <c r="Q326" s="183" t="e">
        <f t="shared" si="88"/>
        <v>#DIV/0!</v>
      </c>
      <c r="R326" s="347"/>
    </row>
    <row r="327" spans="1:18" s="166" customFormat="1">
      <c r="A327" s="11"/>
      <c r="B327" s="16"/>
      <c r="C327" s="12" t="s">
        <v>909</v>
      </c>
      <c r="D327" s="24"/>
      <c r="E327" s="11" t="s">
        <v>910</v>
      </c>
      <c r="F327" s="211">
        <v>17595000</v>
      </c>
      <c r="G327" s="213">
        <v>637864</v>
      </c>
      <c r="H327" s="213">
        <v>637864</v>
      </c>
      <c r="I327" s="213">
        <v>18232864</v>
      </c>
      <c r="J327" s="213">
        <v>17595000</v>
      </c>
      <c r="K327" s="213">
        <v>1332450</v>
      </c>
      <c r="L327" s="213">
        <v>8881850</v>
      </c>
      <c r="M327" s="213">
        <v>1332450</v>
      </c>
      <c r="N327" s="213">
        <v>8881850</v>
      </c>
      <c r="O327" s="214">
        <v>0.48709999999999998</v>
      </c>
      <c r="P327" s="13">
        <f t="shared" ref="G327:P327" si="100">SUM(P328:P333)</f>
        <v>15481800</v>
      </c>
      <c r="Q327" s="183">
        <f t="shared" si="88"/>
        <v>-0.17769665026030565</v>
      </c>
      <c r="R327" s="349">
        <f>SUM(R328:R333)</f>
        <v>15481800</v>
      </c>
    </row>
    <row r="328" spans="1:18" s="167" customFormat="1">
      <c r="A328" s="10"/>
      <c r="B328" s="14" t="s">
        <v>911</v>
      </c>
      <c r="C328" s="10" t="s">
        <v>912</v>
      </c>
      <c r="D328" s="25" t="s">
        <v>393</v>
      </c>
      <c r="E328" s="9" t="s">
        <v>913</v>
      </c>
      <c r="F328" s="216">
        <v>3680000</v>
      </c>
      <c r="G328" s="217" t="s">
        <v>48</v>
      </c>
      <c r="H328" s="217" t="s">
        <v>48</v>
      </c>
      <c r="I328" s="218">
        <v>3680000</v>
      </c>
      <c r="J328" s="218">
        <v>3680000</v>
      </c>
      <c r="K328" s="218">
        <v>250600</v>
      </c>
      <c r="L328" s="218">
        <v>1803300</v>
      </c>
      <c r="M328" s="218">
        <v>250600</v>
      </c>
      <c r="N328" s="218">
        <v>1803300</v>
      </c>
      <c r="O328" s="219">
        <v>0.49</v>
      </c>
      <c r="P328" s="8">
        <v>4063932</v>
      </c>
      <c r="Q328" s="183">
        <f t="shared" si="88"/>
        <v>9.4473037442555627E-2</v>
      </c>
      <c r="R328" s="347">
        <v>4063932</v>
      </c>
    </row>
    <row r="329" spans="1:18" s="167" customFormat="1">
      <c r="A329" s="10"/>
      <c r="B329" s="14" t="s">
        <v>914</v>
      </c>
      <c r="C329" s="10" t="s">
        <v>915</v>
      </c>
      <c r="D329" s="25" t="s">
        <v>397</v>
      </c>
      <c r="E329" s="9" t="s">
        <v>916</v>
      </c>
      <c r="F329" s="216">
        <v>9307000</v>
      </c>
      <c r="G329" s="217" t="s">
        <v>48</v>
      </c>
      <c r="H329" s="217" t="s">
        <v>48</v>
      </c>
      <c r="I329" s="218">
        <v>9307000</v>
      </c>
      <c r="J329" s="218">
        <v>9307000</v>
      </c>
      <c r="K329" s="218">
        <v>636200</v>
      </c>
      <c r="L329" s="218">
        <v>4486750</v>
      </c>
      <c r="M329" s="218">
        <v>636200</v>
      </c>
      <c r="N329" s="218">
        <v>4486750</v>
      </c>
      <c r="O329" s="219">
        <v>0.48209999999999997</v>
      </c>
      <c r="P329" s="8">
        <v>8988222</v>
      </c>
      <c r="Q329" s="183">
        <f t="shared" si="88"/>
        <v>-3.5466191199994834E-2</v>
      </c>
      <c r="R329" s="347">
        <v>8988222</v>
      </c>
    </row>
    <row r="330" spans="1:18" s="167" customFormat="1">
      <c r="A330" s="10"/>
      <c r="B330" s="14" t="s">
        <v>917</v>
      </c>
      <c r="C330" s="10" t="s">
        <v>918</v>
      </c>
      <c r="D330" s="25" t="s">
        <v>401</v>
      </c>
      <c r="E330" s="9" t="s">
        <v>919</v>
      </c>
      <c r="F330" s="216">
        <v>696000</v>
      </c>
      <c r="G330" s="217" t="s">
        <v>48</v>
      </c>
      <c r="H330" s="217" t="s">
        <v>48</v>
      </c>
      <c r="I330" s="218">
        <v>696000</v>
      </c>
      <c r="J330" s="218">
        <v>696000</v>
      </c>
      <c r="K330" s="218">
        <v>144850</v>
      </c>
      <c r="L330" s="218">
        <v>403500</v>
      </c>
      <c r="M330" s="218">
        <v>144850</v>
      </c>
      <c r="N330" s="218">
        <v>403500</v>
      </c>
      <c r="O330" s="219">
        <v>0.57969999999999999</v>
      </c>
      <c r="P330" s="8">
        <v>698804</v>
      </c>
      <c r="Q330" s="183">
        <f t="shared" si="88"/>
        <v>4.012570048253874E-3</v>
      </c>
      <c r="R330" s="347">
        <v>698804</v>
      </c>
    </row>
    <row r="331" spans="1:18" s="167" customFormat="1">
      <c r="A331" s="10"/>
      <c r="B331" s="14" t="s">
        <v>920</v>
      </c>
      <c r="C331" s="10" t="s">
        <v>921</v>
      </c>
      <c r="D331" s="25" t="s">
        <v>405</v>
      </c>
      <c r="E331" s="9" t="s">
        <v>922</v>
      </c>
      <c r="F331" s="216">
        <v>2599000</v>
      </c>
      <c r="G331" s="218">
        <v>532440</v>
      </c>
      <c r="H331" s="218">
        <v>532440</v>
      </c>
      <c r="I331" s="218">
        <v>3131440</v>
      </c>
      <c r="J331" s="218">
        <v>2599000</v>
      </c>
      <c r="K331" s="218">
        <v>142800</v>
      </c>
      <c r="L331" s="218">
        <v>1266750</v>
      </c>
      <c r="M331" s="218">
        <v>142800</v>
      </c>
      <c r="N331" s="218">
        <v>1266750</v>
      </c>
      <c r="O331" s="219">
        <v>0.40450000000000003</v>
      </c>
      <c r="P331" s="8"/>
      <c r="Q331" s="183" t="e">
        <f t="shared" si="88"/>
        <v>#DIV/0!</v>
      </c>
      <c r="R331" s="347"/>
    </row>
    <row r="332" spans="1:18" s="167" customFormat="1">
      <c r="A332" s="10"/>
      <c r="B332" s="14" t="s">
        <v>923</v>
      </c>
      <c r="C332" s="10" t="s">
        <v>924</v>
      </c>
      <c r="D332" s="25" t="s">
        <v>409</v>
      </c>
      <c r="E332" s="9" t="s">
        <v>925</v>
      </c>
      <c r="F332" s="216">
        <v>1313000</v>
      </c>
      <c r="G332" s="218">
        <v>105424</v>
      </c>
      <c r="H332" s="218">
        <v>105424</v>
      </c>
      <c r="I332" s="218">
        <v>1418424</v>
      </c>
      <c r="J332" s="218">
        <v>1313000</v>
      </c>
      <c r="K332" s="218">
        <v>158000</v>
      </c>
      <c r="L332" s="218">
        <v>921550</v>
      </c>
      <c r="M332" s="218">
        <v>158000</v>
      </c>
      <c r="N332" s="218">
        <v>921550</v>
      </c>
      <c r="O332" s="219">
        <v>0.64970000000000006</v>
      </c>
      <c r="P332" s="8">
        <v>1730842</v>
      </c>
      <c r="Q332" s="183">
        <f t="shared" si="88"/>
        <v>0.18050058873080269</v>
      </c>
      <c r="R332" s="347">
        <v>1730842</v>
      </c>
    </row>
    <row r="333" spans="1:18" s="167" customFormat="1">
      <c r="A333" s="10"/>
      <c r="B333" s="14"/>
      <c r="C333" s="10" t="s">
        <v>926</v>
      </c>
      <c r="D333" s="25" t="s">
        <v>419</v>
      </c>
      <c r="E333" s="9" t="s">
        <v>927</v>
      </c>
      <c r="F333" s="215" t="s">
        <v>304</v>
      </c>
      <c r="G333" s="217" t="s">
        <v>48</v>
      </c>
      <c r="H333" s="217" t="s">
        <v>48</v>
      </c>
      <c r="I333" s="217" t="s">
        <v>304</v>
      </c>
      <c r="J333" s="217" t="s">
        <v>305</v>
      </c>
      <c r="K333" s="217" t="s">
        <v>112</v>
      </c>
      <c r="L333" s="217" t="s">
        <v>112</v>
      </c>
      <c r="M333" s="217" t="s">
        <v>113</v>
      </c>
      <c r="N333" s="217" t="s">
        <v>114</v>
      </c>
      <c r="O333" s="219">
        <v>0</v>
      </c>
      <c r="P333" s="8">
        <v>0</v>
      </c>
      <c r="Q333" s="183" t="e">
        <f t="shared" si="88"/>
        <v>#VALUE!</v>
      </c>
      <c r="R333" s="347">
        <v>0</v>
      </c>
    </row>
    <row r="334" spans="1:18" s="166" customFormat="1">
      <c r="A334" s="72" t="s">
        <v>928</v>
      </c>
      <c r="B334" s="73" t="s">
        <v>929</v>
      </c>
      <c r="C334" s="74" t="s">
        <v>930</v>
      </c>
      <c r="D334" s="75"/>
      <c r="E334" s="20" t="s">
        <v>284</v>
      </c>
      <c r="F334" s="206">
        <v>1539949000</v>
      </c>
      <c r="G334" s="208">
        <v>42153743</v>
      </c>
      <c r="H334" s="208">
        <v>211228784</v>
      </c>
      <c r="I334" s="208">
        <v>1751177784</v>
      </c>
      <c r="J334" s="208">
        <v>1578451601</v>
      </c>
      <c r="K334" s="208">
        <v>131709526</v>
      </c>
      <c r="L334" s="208">
        <v>892416326</v>
      </c>
      <c r="M334" s="208">
        <v>131709526</v>
      </c>
      <c r="N334" s="208">
        <v>892416326</v>
      </c>
      <c r="O334" s="209">
        <v>0.50960000000000005</v>
      </c>
      <c r="P334" s="76">
        <f t="shared" ref="G334:P334" si="101">+P335+P344</f>
        <v>1438902100</v>
      </c>
      <c r="Q334" s="183">
        <f t="shared" ref="Q334:Q399" si="102">+(P334-I334)/P334</f>
        <v>-0.21702357929702099</v>
      </c>
      <c r="R334" s="345">
        <f>+R335+R344</f>
        <v>1438902100</v>
      </c>
    </row>
    <row r="335" spans="1:18" s="166" customFormat="1">
      <c r="A335" s="11"/>
      <c r="B335" s="16"/>
      <c r="C335" s="12" t="s">
        <v>931</v>
      </c>
      <c r="D335" s="24"/>
      <c r="E335" s="11" t="s">
        <v>932</v>
      </c>
      <c r="F335" s="211">
        <v>1434646000</v>
      </c>
      <c r="G335" s="213">
        <v>37443867</v>
      </c>
      <c r="H335" s="213">
        <v>206518908</v>
      </c>
      <c r="I335" s="213">
        <v>1641164908</v>
      </c>
      <c r="J335" s="213">
        <v>1473148601</v>
      </c>
      <c r="K335" s="213">
        <v>124028526</v>
      </c>
      <c r="L335" s="213">
        <v>839757826</v>
      </c>
      <c r="M335" s="213">
        <v>124028526</v>
      </c>
      <c r="N335" s="213">
        <v>839757826</v>
      </c>
      <c r="O335" s="214">
        <v>0.51170000000000004</v>
      </c>
      <c r="P335" s="13">
        <f t="shared" ref="G335:P335" si="103">SUM(P336:P343)</f>
        <v>1342511234</v>
      </c>
      <c r="Q335" s="183">
        <f t="shared" si="102"/>
        <v>-0.22245897571386727</v>
      </c>
      <c r="R335" s="349">
        <f>SUM(R336:R343)</f>
        <v>1342511234</v>
      </c>
    </row>
    <row r="336" spans="1:18" s="167" customFormat="1">
      <c r="A336" s="10"/>
      <c r="B336" s="14" t="s">
        <v>933</v>
      </c>
      <c r="C336" s="10" t="s">
        <v>934</v>
      </c>
      <c r="D336" s="25" t="s">
        <v>393</v>
      </c>
      <c r="E336" s="9" t="s">
        <v>935</v>
      </c>
      <c r="F336" s="216">
        <v>256707000</v>
      </c>
      <c r="G336" s="217" t="s">
        <v>48</v>
      </c>
      <c r="H336" s="218">
        <v>7733875</v>
      </c>
      <c r="I336" s="218">
        <v>264440875</v>
      </c>
      <c r="J336" s="218">
        <v>256707000</v>
      </c>
      <c r="K336" s="218">
        <v>24327759</v>
      </c>
      <c r="L336" s="218">
        <v>143408459</v>
      </c>
      <c r="M336" s="218">
        <v>24327759</v>
      </c>
      <c r="N336" s="218">
        <v>143408459</v>
      </c>
      <c r="O336" s="219">
        <v>0.5423</v>
      </c>
      <c r="P336" s="8">
        <v>280485686</v>
      </c>
      <c r="Q336" s="183">
        <f t="shared" si="102"/>
        <v>5.7203671348847372E-2</v>
      </c>
      <c r="R336" s="347">
        <v>280485686</v>
      </c>
    </row>
    <row r="337" spans="1:18" s="167" customFormat="1">
      <c r="A337" s="10"/>
      <c r="B337" s="14" t="s">
        <v>936</v>
      </c>
      <c r="C337" s="10" t="s">
        <v>937</v>
      </c>
      <c r="D337" s="25" t="s">
        <v>397</v>
      </c>
      <c r="E337" s="9" t="s">
        <v>938</v>
      </c>
      <c r="F337" s="216">
        <v>304395000</v>
      </c>
      <c r="G337" s="218">
        <v>22366308</v>
      </c>
      <c r="H337" s="218">
        <v>81262191</v>
      </c>
      <c r="I337" s="218">
        <v>385657191</v>
      </c>
      <c r="J337" s="218">
        <v>385657191</v>
      </c>
      <c r="K337" s="218">
        <v>29546075</v>
      </c>
      <c r="L337" s="218">
        <v>187497425</v>
      </c>
      <c r="M337" s="218">
        <v>29546075</v>
      </c>
      <c r="N337" s="218">
        <v>187497425</v>
      </c>
      <c r="O337" s="219">
        <v>0.48620000000000002</v>
      </c>
      <c r="P337" s="8">
        <v>386667375</v>
      </c>
      <c r="Q337" s="183">
        <f t="shared" si="102"/>
        <v>2.6125400416831131E-3</v>
      </c>
      <c r="R337" s="347">
        <v>386667375</v>
      </c>
    </row>
    <row r="338" spans="1:18" s="167" customFormat="1">
      <c r="A338" s="10"/>
      <c r="B338" s="14" t="s">
        <v>939</v>
      </c>
      <c r="C338" s="10" t="s">
        <v>940</v>
      </c>
      <c r="D338" s="25" t="s">
        <v>401</v>
      </c>
      <c r="E338" s="9" t="s">
        <v>941</v>
      </c>
      <c r="F338" s="216">
        <v>174785000</v>
      </c>
      <c r="G338" s="217" t="s">
        <v>48</v>
      </c>
      <c r="H338" s="218">
        <v>20458411</v>
      </c>
      <c r="I338" s="218">
        <v>195243411</v>
      </c>
      <c r="J338" s="218">
        <v>174785000</v>
      </c>
      <c r="K338" s="218">
        <v>16932306</v>
      </c>
      <c r="L338" s="218">
        <v>109912606</v>
      </c>
      <c r="M338" s="218">
        <v>16932306</v>
      </c>
      <c r="N338" s="218">
        <v>109912606</v>
      </c>
      <c r="O338" s="219">
        <v>0.56299999999999994</v>
      </c>
      <c r="P338" s="8">
        <v>205938724</v>
      </c>
      <c r="Q338" s="183">
        <f t="shared" si="102"/>
        <v>5.1934443373554164E-2</v>
      </c>
      <c r="R338" s="347">
        <v>205938724</v>
      </c>
    </row>
    <row r="339" spans="1:18" s="167" customFormat="1">
      <c r="A339" s="10"/>
      <c r="B339" s="14" t="s">
        <v>942</v>
      </c>
      <c r="C339" s="10" t="s">
        <v>943</v>
      </c>
      <c r="D339" s="25" t="s">
        <v>405</v>
      </c>
      <c r="E339" s="9" t="s">
        <v>944</v>
      </c>
      <c r="F339" s="216">
        <v>297856000</v>
      </c>
      <c r="G339" s="218">
        <v>7278020</v>
      </c>
      <c r="H339" s="218">
        <v>60936054</v>
      </c>
      <c r="I339" s="218">
        <v>358792054</v>
      </c>
      <c r="J339" s="218">
        <v>297856000</v>
      </c>
      <c r="K339" s="218">
        <v>26242645</v>
      </c>
      <c r="L339" s="218">
        <v>163150995</v>
      </c>
      <c r="M339" s="218">
        <v>26242645</v>
      </c>
      <c r="N339" s="218">
        <v>163150995</v>
      </c>
      <c r="O339" s="219">
        <v>0.45469999999999999</v>
      </c>
      <c r="P339" s="8"/>
      <c r="Q339" s="183" t="e">
        <f t="shared" si="102"/>
        <v>#DIV/0!</v>
      </c>
      <c r="R339" s="347"/>
    </row>
    <row r="340" spans="1:18" s="167" customFormat="1">
      <c r="A340" s="10"/>
      <c r="B340" s="14" t="s">
        <v>945</v>
      </c>
      <c r="C340" s="10" t="s">
        <v>946</v>
      </c>
      <c r="D340" s="25" t="s">
        <v>409</v>
      </c>
      <c r="E340" s="9" t="s">
        <v>947</v>
      </c>
      <c r="F340" s="216">
        <v>250390000</v>
      </c>
      <c r="G340" s="218">
        <v>4189342</v>
      </c>
      <c r="H340" s="218">
        <v>2723421</v>
      </c>
      <c r="I340" s="218">
        <v>253113421</v>
      </c>
      <c r="J340" s="218">
        <v>248924079</v>
      </c>
      <c r="K340" s="218">
        <v>12137150</v>
      </c>
      <c r="L340" s="218">
        <v>146803450</v>
      </c>
      <c r="M340" s="218">
        <v>12137150</v>
      </c>
      <c r="N340" s="218">
        <v>146803450</v>
      </c>
      <c r="O340" s="219">
        <v>0.57999999999999996</v>
      </c>
      <c r="P340" s="8">
        <v>277383509</v>
      </c>
      <c r="Q340" s="183">
        <f t="shared" si="102"/>
        <v>8.749650650644844E-2</v>
      </c>
      <c r="R340" s="347">
        <v>277383509</v>
      </c>
    </row>
    <row r="341" spans="1:18" s="167" customFormat="1">
      <c r="A341" s="10"/>
      <c r="B341" s="14" t="s">
        <v>948</v>
      </c>
      <c r="C341" s="10" t="s">
        <v>949</v>
      </c>
      <c r="D341" s="25" t="s">
        <v>413</v>
      </c>
      <c r="E341" s="9" t="s">
        <v>950</v>
      </c>
      <c r="F341" s="216">
        <v>49637000</v>
      </c>
      <c r="G341" s="218">
        <v>1341470</v>
      </c>
      <c r="H341" s="218">
        <v>1341470</v>
      </c>
      <c r="I341" s="218">
        <v>50978470</v>
      </c>
      <c r="J341" s="218">
        <v>49637000</v>
      </c>
      <c r="K341" s="218">
        <v>4367210</v>
      </c>
      <c r="L341" s="218">
        <v>30588860</v>
      </c>
      <c r="M341" s="218">
        <v>4367210</v>
      </c>
      <c r="N341" s="218">
        <v>30588860</v>
      </c>
      <c r="O341" s="219">
        <v>0.6</v>
      </c>
      <c r="P341" s="8">
        <f>19194078+48034414</f>
        <v>67228492</v>
      </c>
      <c r="Q341" s="183">
        <f t="shared" si="102"/>
        <v>0.24171332000128756</v>
      </c>
      <c r="R341" s="347">
        <f>19194078+48034414</f>
        <v>67228492</v>
      </c>
    </row>
    <row r="342" spans="1:18" s="167" customFormat="1">
      <c r="A342" s="10"/>
      <c r="B342" s="14" t="s">
        <v>951</v>
      </c>
      <c r="C342" s="10" t="s">
        <v>952</v>
      </c>
      <c r="D342" s="25" t="s">
        <v>419</v>
      </c>
      <c r="E342" s="9" t="s">
        <v>953</v>
      </c>
      <c r="F342" s="216">
        <v>99515000</v>
      </c>
      <c r="G342" s="218">
        <v>2268727</v>
      </c>
      <c r="H342" s="218">
        <v>32063486</v>
      </c>
      <c r="I342" s="218">
        <v>131578486</v>
      </c>
      <c r="J342" s="218">
        <v>58221331</v>
      </c>
      <c r="K342" s="218">
        <v>10300681</v>
      </c>
      <c r="L342" s="218">
        <v>58221331</v>
      </c>
      <c r="M342" s="218">
        <v>10300681</v>
      </c>
      <c r="N342" s="218">
        <v>58221331</v>
      </c>
      <c r="O342" s="219">
        <v>0.4425</v>
      </c>
      <c r="P342" s="8">
        <v>124807448</v>
      </c>
      <c r="Q342" s="183">
        <f t="shared" si="102"/>
        <v>-5.4251874455441156E-2</v>
      </c>
      <c r="R342" s="347">
        <v>124807448</v>
      </c>
    </row>
    <row r="343" spans="1:18" s="167" customFormat="1">
      <c r="A343" s="10"/>
      <c r="B343" s="14" t="s">
        <v>954</v>
      </c>
      <c r="C343" s="10" t="s">
        <v>955</v>
      </c>
      <c r="D343" s="25" t="s">
        <v>423</v>
      </c>
      <c r="E343" s="9" t="s">
        <v>956</v>
      </c>
      <c r="F343" s="216">
        <v>1361000</v>
      </c>
      <c r="G343" s="217" t="s">
        <v>48</v>
      </c>
      <c r="H343" s="217" t="s">
        <v>48</v>
      </c>
      <c r="I343" s="218">
        <v>1361000</v>
      </c>
      <c r="J343" s="218">
        <v>1361000</v>
      </c>
      <c r="K343" s="218">
        <v>174700</v>
      </c>
      <c r="L343" s="218">
        <v>174700</v>
      </c>
      <c r="M343" s="218">
        <v>174700</v>
      </c>
      <c r="N343" s="218">
        <v>174700</v>
      </c>
      <c r="O343" s="219">
        <v>0.12839999999999999</v>
      </c>
      <c r="P343" s="8"/>
      <c r="Q343" s="183" t="e">
        <f t="shared" si="102"/>
        <v>#DIV/0!</v>
      </c>
      <c r="R343" s="347"/>
    </row>
    <row r="344" spans="1:18" s="166" customFormat="1">
      <c r="A344" s="11"/>
      <c r="B344" s="16"/>
      <c r="C344" s="12" t="s">
        <v>957</v>
      </c>
      <c r="D344" s="24"/>
      <c r="E344" s="11" t="s">
        <v>958</v>
      </c>
      <c r="F344" s="211">
        <v>105303000</v>
      </c>
      <c r="G344" s="213">
        <v>4709876</v>
      </c>
      <c r="H344" s="213">
        <v>4709876</v>
      </c>
      <c r="I344" s="213">
        <v>110012876</v>
      </c>
      <c r="J344" s="213">
        <v>105303000</v>
      </c>
      <c r="K344" s="213">
        <v>7681000</v>
      </c>
      <c r="L344" s="213">
        <v>52658500</v>
      </c>
      <c r="M344" s="213">
        <v>7681000</v>
      </c>
      <c r="N344" s="213">
        <v>52658500</v>
      </c>
      <c r="O344" s="214">
        <v>0.47870000000000001</v>
      </c>
      <c r="P344" s="13">
        <f t="shared" ref="G344:P344" si="104">SUM(P345:P350)</f>
        <v>96390866</v>
      </c>
      <c r="Q344" s="183">
        <f t="shared" si="102"/>
        <v>-0.1413205479448644</v>
      </c>
      <c r="R344" s="349">
        <f>SUM(R345:R350)</f>
        <v>96390866</v>
      </c>
    </row>
    <row r="345" spans="1:18" s="167" customFormat="1">
      <c r="A345" s="10"/>
      <c r="B345" s="14" t="s">
        <v>959</v>
      </c>
      <c r="C345" s="10" t="s">
        <v>960</v>
      </c>
      <c r="D345" s="25" t="s">
        <v>393</v>
      </c>
      <c r="E345" s="9" t="s">
        <v>961</v>
      </c>
      <c r="F345" s="216">
        <v>22013000</v>
      </c>
      <c r="G345" s="217" t="s">
        <v>48</v>
      </c>
      <c r="H345" s="217" t="s">
        <v>48</v>
      </c>
      <c r="I345" s="218">
        <v>22013000</v>
      </c>
      <c r="J345" s="218">
        <v>22013000</v>
      </c>
      <c r="K345" s="218">
        <v>1437450</v>
      </c>
      <c r="L345" s="218">
        <v>10706100</v>
      </c>
      <c r="M345" s="218">
        <v>1437450</v>
      </c>
      <c r="N345" s="218">
        <v>10706100</v>
      </c>
      <c r="O345" s="219">
        <v>0.4864</v>
      </c>
      <c r="P345" s="8">
        <v>25302201</v>
      </c>
      <c r="Q345" s="183">
        <f t="shared" si="102"/>
        <v>0.12999663547056636</v>
      </c>
      <c r="R345" s="347">
        <v>25302201</v>
      </c>
    </row>
    <row r="346" spans="1:18" s="167" customFormat="1">
      <c r="A346" s="10"/>
      <c r="B346" s="14" t="s">
        <v>962</v>
      </c>
      <c r="C346" s="10" t="s">
        <v>963</v>
      </c>
      <c r="D346" s="25" t="s">
        <v>397</v>
      </c>
      <c r="E346" s="9" t="s">
        <v>964</v>
      </c>
      <c r="F346" s="216">
        <v>55706000</v>
      </c>
      <c r="G346" s="217" t="s">
        <v>48</v>
      </c>
      <c r="H346" s="217" t="s">
        <v>48</v>
      </c>
      <c r="I346" s="218">
        <v>55706000</v>
      </c>
      <c r="J346" s="218">
        <v>55706000</v>
      </c>
      <c r="K346" s="218">
        <v>3652250</v>
      </c>
      <c r="L346" s="218">
        <v>26530850</v>
      </c>
      <c r="M346" s="218">
        <v>3652250</v>
      </c>
      <c r="N346" s="218">
        <v>26530850</v>
      </c>
      <c r="O346" s="219">
        <v>0.4763</v>
      </c>
      <c r="P346" s="8">
        <v>55961052</v>
      </c>
      <c r="Q346" s="183">
        <f t="shared" si="102"/>
        <v>4.5576698593872041E-3</v>
      </c>
      <c r="R346" s="347">
        <v>55961052</v>
      </c>
    </row>
    <row r="347" spans="1:18" s="167" customFormat="1">
      <c r="A347" s="10"/>
      <c r="B347" s="14" t="s">
        <v>965</v>
      </c>
      <c r="C347" s="10" t="s">
        <v>966</v>
      </c>
      <c r="D347" s="25" t="s">
        <v>401</v>
      </c>
      <c r="E347" s="9" t="s">
        <v>967</v>
      </c>
      <c r="F347" s="216">
        <v>4165000</v>
      </c>
      <c r="G347" s="217" t="s">
        <v>48</v>
      </c>
      <c r="H347" s="217" t="s">
        <v>48</v>
      </c>
      <c r="I347" s="218">
        <v>4165000</v>
      </c>
      <c r="J347" s="218">
        <v>4165000</v>
      </c>
      <c r="K347" s="218">
        <v>865950</v>
      </c>
      <c r="L347" s="218">
        <v>2412950</v>
      </c>
      <c r="M347" s="218">
        <v>865950</v>
      </c>
      <c r="N347" s="218">
        <v>2412950</v>
      </c>
      <c r="O347" s="219">
        <v>0.57930000000000004</v>
      </c>
      <c r="P347" s="8">
        <v>4350785</v>
      </c>
      <c r="Q347" s="183">
        <f t="shared" si="102"/>
        <v>4.2701489501319877E-2</v>
      </c>
      <c r="R347" s="347">
        <v>4350785</v>
      </c>
    </row>
    <row r="348" spans="1:18" s="167" customFormat="1">
      <c r="A348" s="10"/>
      <c r="B348" s="14" t="s">
        <v>968</v>
      </c>
      <c r="C348" s="10" t="s">
        <v>969</v>
      </c>
      <c r="D348" s="25" t="s">
        <v>405</v>
      </c>
      <c r="E348" s="9" t="s">
        <v>970</v>
      </c>
      <c r="F348" s="216">
        <v>15558000</v>
      </c>
      <c r="G348" s="218">
        <v>4080000</v>
      </c>
      <c r="H348" s="218">
        <v>4080000</v>
      </c>
      <c r="I348" s="218">
        <v>19638000</v>
      </c>
      <c r="J348" s="218">
        <v>15558000</v>
      </c>
      <c r="K348" s="218">
        <v>818050</v>
      </c>
      <c r="L348" s="218">
        <v>7535300</v>
      </c>
      <c r="M348" s="218">
        <v>818050</v>
      </c>
      <c r="N348" s="218">
        <v>7535300</v>
      </c>
      <c r="O348" s="219">
        <v>0.38369999999999999</v>
      </c>
      <c r="P348" s="8"/>
      <c r="Q348" s="183" t="e">
        <f t="shared" si="102"/>
        <v>#DIV/0!</v>
      </c>
      <c r="R348" s="347"/>
    </row>
    <row r="349" spans="1:18" s="167" customFormat="1">
      <c r="A349" s="10"/>
      <c r="B349" s="14" t="s">
        <v>971</v>
      </c>
      <c r="C349" s="10" t="s">
        <v>972</v>
      </c>
      <c r="D349" s="25" t="s">
        <v>409</v>
      </c>
      <c r="E349" s="9" t="s">
        <v>973</v>
      </c>
      <c r="F349" s="216">
        <v>7861000</v>
      </c>
      <c r="G349" s="218">
        <v>629876</v>
      </c>
      <c r="H349" s="218">
        <v>629876</v>
      </c>
      <c r="I349" s="218">
        <v>8490876</v>
      </c>
      <c r="J349" s="218">
        <v>7861000</v>
      </c>
      <c r="K349" s="218">
        <v>907300</v>
      </c>
      <c r="L349" s="218">
        <v>5473300</v>
      </c>
      <c r="M349" s="218">
        <v>907300</v>
      </c>
      <c r="N349" s="218">
        <v>5473300</v>
      </c>
      <c r="O349" s="219">
        <v>0.64459999999999995</v>
      </c>
      <c r="P349" s="8">
        <v>10776828</v>
      </c>
      <c r="Q349" s="183">
        <f t="shared" si="102"/>
        <v>0.21211733174177039</v>
      </c>
      <c r="R349" s="347">
        <v>10776828</v>
      </c>
    </row>
    <row r="350" spans="1:18" s="167" customFormat="1">
      <c r="A350" s="10"/>
      <c r="B350" s="14"/>
      <c r="C350" s="10" t="s">
        <v>974</v>
      </c>
      <c r="D350" s="25" t="s">
        <v>419</v>
      </c>
      <c r="E350" s="9" t="s">
        <v>975</v>
      </c>
      <c r="F350" s="215" t="s">
        <v>304</v>
      </c>
      <c r="G350" s="217" t="s">
        <v>48</v>
      </c>
      <c r="H350" s="217" t="s">
        <v>48</v>
      </c>
      <c r="I350" s="217" t="s">
        <v>304</v>
      </c>
      <c r="J350" s="217" t="s">
        <v>305</v>
      </c>
      <c r="K350" s="217" t="s">
        <v>112</v>
      </c>
      <c r="L350" s="217" t="s">
        <v>112</v>
      </c>
      <c r="M350" s="217" t="s">
        <v>113</v>
      </c>
      <c r="N350" s="217" t="s">
        <v>114</v>
      </c>
      <c r="O350" s="219">
        <v>0</v>
      </c>
      <c r="P350" s="8">
        <v>0</v>
      </c>
      <c r="Q350" s="183" t="e">
        <f t="shared" si="102"/>
        <v>#VALUE!</v>
      </c>
      <c r="R350" s="347">
        <v>0</v>
      </c>
    </row>
    <row r="351" spans="1:18" s="175" customFormat="1">
      <c r="A351" s="61" t="s">
        <v>976</v>
      </c>
      <c r="B351" s="61" t="s">
        <v>977</v>
      </c>
      <c r="C351" s="61" t="s">
        <v>978</v>
      </c>
      <c r="D351" s="61"/>
      <c r="E351" s="61" t="s">
        <v>979</v>
      </c>
      <c r="F351" s="62">
        <f t="shared" ref="F351:P351" si="105">+F352+F378</f>
        <v>115590801000</v>
      </c>
      <c r="G351" s="193">
        <v>18098914566</v>
      </c>
      <c r="H351" s="62">
        <f t="shared" si="105"/>
        <v>23260712865</v>
      </c>
      <c r="I351" s="62">
        <f t="shared" si="105"/>
        <v>138851513865</v>
      </c>
      <c r="J351" s="62">
        <f t="shared" si="105"/>
        <v>111469923101</v>
      </c>
      <c r="K351" s="193">
        <v>5015818087</v>
      </c>
      <c r="L351" s="62">
        <f t="shared" si="105"/>
        <v>105371669478</v>
      </c>
      <c r="M351" s="193">
        <v>9612415579</v>
      </c>
      <c r="N351" s="62">
        <f t="shared" si="105"/>
        <v>70739049889</v>
      </c>
      <c r="O351" s="194">
        <v>0.75890000000000002</v>
      </c>
      <c r="P351" s="62">
        <f t="shared" si="105"/>
        <v>160558574919.35001</v>
      </c>
      <c r="Q351" s="183">
        <f t="shared" si="102"/>
        <v>0.1351971457472991</v>
      </c>
      <c r="R351" s="341">
        <f>+R352+R378</f>
        <v>160558574919.35001</v>
      </c>
    </row>
    <row r="352" spans="1:18" s="175" customFormat="1">
      <c r="A352" s="33" t="s">
        <v>980</v>
      </c>
      <c r="B352" s="84" t="s">
        <v>981</v>
      </c>
      <c r="C352" s="33" t="s">
        <v>982</v>
      </c>
      <c r="D352" s="85"/>
      <c r="E352" s="33" t="s">
        <v>983</v>
      </c>
      <c r="F352" s="233">
        <v>2781855000</v>
      </c>
      <c r="G352" s="234" t="s">
        <v>48</v>
      </c>
      <c r="H352" s="235">
        <v>215287376</v>
      </c>
      <c r="I352" s="235">
        <v>2997142376</v>
      </c>
      <c r="J352" s="235">
        <v>2591382927</v>
      </c>
      <c r="K352" s="235">
        <v>1142400</v>
      </c>
      <c r="L352" s="235">
        <v>2518339174</v>
      </c>
      <c r="M352" s="234" t="s">
        <v>113</v>
      </c>
      <c r="N352" s="235">
        <v>1377363310</v>
      </c>
      <c r="O352" s="236">
        <v>0.84019999999999995</v>
      </c>
      <c r="P352" s="34">
        <f t="shared" ref="G352:P352" si="106">+P353</f>
        <v>6227191705</v>
      </c>
      <c r="Q352" s="183">
        <f t="shared" si="102"/>
        <v>0.51870080158388188</v>
      </c>
      <c r="R352" s="352">
        <f>+R353</f>
        <v>6227191705</v>
      </c>
    </row>
    <row r="353" spans="1:18" s="175" customFormat="1">
      <c r="A353" s="86" t="s">
        <v>984</v>
      </c>
      <c r="B353" s="87" t="s">
        <v>985</v>
      </c>
      <c r="C353" s="35" t="s">
        <v>986</v>
      </c>
      <c r="D353" s="88"/>
      <c r="E353" s="35" t="s">
        <v>987</v>
      </c>
      <c r="F353" s="237">
        <v>2781855000</v>
      </c>
      <c r="G353" s="238" t="s">
        <v>48</v>
      </c>
      <c r="H353" s="239">
        <v>215287376</v>
      </c>
      <c r="I353" s="239">
        <v>2997142376</v>
      </c>
      <c r="J353" s="239">
        <v>2591382927</v>
      </c>
      <c r="K353" s="239">
        <v>1142400</v>
      </c>
      <c r="L353" s="239">
        <v>2518339174</v>
      </c>
      <c r="M353" s="238" t="s">
        <v>113</v>
      </c>
      <c r="N353" s="239">
        <v>1377363310</v>
      </c>
      <c r="O353" s="240">
        <v>0.84019999999999995</v>
      </c>
      <c r="P353" s="36">
        <f t="shared" ref="G353:P353" si="107">+P354+P360+P368</f>
        <v>6227191705</v>
      </c>
      <c r="Q353" s="183">
        <f t="shared" si="102"/>
        <v>0.51870080158388188</v>
      </c>
      <c r="R353" s="353">
        <f>+R354+R360+R368</f>
        <v>6227191705</v>
      </c>
    </row>
    <row r="354" spans="1:18" s="175" customFormat="1">
      <c r="A354" s="89" t="s">
        <v>988</v>
      </c>
      <c r="B354" s="90" t="s">
        <v>989</v>
      </c>
      <c r="C354" s="91" t="s">
        <v>990</v>
      </c>
      <c r="D354" s="92"/>
      <c r="E354" s="37" t="s">
        <v>991</v>
      </c>
      <c r="F354" s="241" t="s">
        <v>475</v>
      </c>
      <c r="G354" s="242" t="s">
        <v>35</v>
      </c>
      <c r="H354" s="243">
        <v>35000000</v>
      </c>
      <c r="I354" s="243">
        <v>35000000</v>
      </c>
      <c r="J354" s="243">
        <v>29940400</v>
      </c>
      <c r="K354" s="243">
        <v>1142400</v>
      </c>
      <c r="L354" s="243">
        <v>29940400</v>
      </c>
      <c r="M354" s="242" t="s">
        <v>315</v>
      </c>
      <c r="N354" s="243">
        <v>24990000</v>
      </c>
      <c r="O354" s="244">
        <v>0.85540000000000005</v>
      </c>
      <c r="P354" s="93">
        <f t="shared" ref="G354:P355" si="108">+P355</f>
        <v>157651705</v>
      </c>
      <c r="Q354" s="183">
        <f t="shared" si="102"/>
        <v>0.77799161766122349</v>
      </c>
      <c r="R354" s="354">
        <f>+R355</f>
        <v>157651705</v>
      </c>
    </row>
    <row r="355" spans="1:18">
      <c r="A355" s="94" t="s">
        <v>992</v>
      </c>
      <c r="B355" s="16" t="s">
        <v>993</v>
      </c>
      <c r="C355" s="12" t="s">
        <v>994</v>
      </c>
      <c r="D355" s="24"/>
      <c r="E355" s="11" t="s">
        <v>995</v>
      </c>
      <c r="F355" s="210" t="s">
        <v>475</v>
      </c>
      <c r="G355" s="212" t="s">
        <v>35</v>
      </c>
      <c r="H355" s="213">
        <v>35000000</v>
      </c>
      <c r="I355" s="213">
        <v>35000000</v>
      </c>
      <c r="J355" s="213">
        <v>29940400</v>
      </c>
      <c r="K355" s="213">
        <v>1142400</v>
      </c>
      <c r="L355" s="213">
        <v>29940400</v>
      </c>
      <c r="M355" s="212" t="s">
        <v>315</v>
      </c>
      <c r="N355" s="213">
        <v>24990000</v>
      </c>
      <c r="O355" s="214">
        <v>0.85540000000000005</v>
      </c>
      <c r="P355" s="13">
        <f t="shared" si="108"/>
        <v>157651705</v>
      </c>
      <c r="Q355" s="183">
        <f t="shared" si="102"/>
        <v>0.77799161766122349</v>
      </c>
      <c r="R355" s="349">
        <f>+R356</f>
        <v>157651705</v>
      </c>
    </row>
    <row r="356" spans="1:18">
      <c r="A356" s="10" t="s">
        <v>996</v>
      </c>
      <c r="B356" s="14" t="s">
        <v>989</v>
      </c>
      <c r="C356" s="10" t="s">
        <v>997</v>
      </c>
      <c r="D356" s="25"/>
      <c r="E356" s="9" t="s">
        <v>998</v>
      </c>
      <c r="F356" s="215" t="s">
        <v>304</v>
      </c>
      <c r="G356" s="217" t="s">
        <v>48</v>
      </c>
      <c r="H356" s="218">
        <v>35000000</v>
      </c>
      <c r="I356" s="218">
        <v>35000000</v>
      </c>
      <c r="J356" s="218">
        <v>29940400</v>
      </c>
      <c r="K356" s="218">
        <v>1142400</v>
      </c>
      <c r="L356" s="218">
        <v>29940400</v>
      </c>
      <c r="M356" s="217" t="s">
        <v>113</v>
      </c>
      <c r="N356" s="218">
        <v>24990000</v>
      </c>
      <c r="O356" s="219">
        <v>0.85540000000000005</v>
      </c>
      <c r="P356" s="8">
        <f>SUM(P357:P359)</f>
        <v>157651705</v>
      </c>
      <c r="Q356" s="183">
        <f t="shared" si="102"/>
        <v>0.77799161766122349</v>
      </c>
      <c r="R356" s="347">
        <f>SUM(R357:R359)</f>
        <v>157651705</v>
      </c>
    </row>
    <row r="357" spans="1:18" s="177" customFormat="1">
      <c r="A357" s="79"/>
      <c r="B357" s="80"/>
      <c r="C357" s="79" t="s">
        <v>997</v>
      </c>
      <c r="D357" s="28" t="s">
        <v>999</v>
      </c>
      <c r="E357" s="29" t="s">
        <v>1000</v>
      </c>
      <c r="F357" s="224" t="s">
        <v>304</v>
      </c>
      <c r="G357" s="225" t="s">
        <v>48</v>
      </c>
      <c r="H357" s="228">
        <v>5000000</v>
      </c>
      <c r="I357" s="228">
        <v>5000000</v>
      </c>
      <c r="J357" s="228">
        <v>4950400</v>
      </c>
      <c r="K357" s="228">
        <v>1142400</v>
      </c>
      <c r="L357" s="228">
        <v>4950400</v>
      </c>
      <c r="M357" s="225" t="s">
        <v>113</v>
      </c>
      <c r="N357" s="225" t="s">
        <v>114</v>
      </c>
      <c r="O357" s="226">
        <v>0.99009999999999998</v>
      </c>
      <c r="P357" s="30"/>
      <c r="Q357" s="183" t="e">
        <f t="shared" si="102"/>
        <v>#DIV/0!</v>
      </c>
      <c r="R357" s="171"/>
    </row>
    <row r="358" spans="1:18" s="177" customFormat="1">
      <c r="A358" s="79"/>
      <c r="B358" s="80"/>
      <c r="C358" s="79" t="s">
        <v>997</v>
      </c>
      <c r="D358" s="28" t="s">
        <v>1001</v>
      </c>
      <c r="E358" s="29" t="s">
        <v>1002</v>
      </c>
      <c r="F358" s="224" t="s">
        <v>304</v>
      </c>
      <c r="G358" s="225" t="s">
        <v>48</v>
      </c>
      <c r="H358" s="228">
        <v>30000000</v>
      </c>
      <c r="I358" s="228">
        <v>30000000</v>
      </c>
      <c r="J358" s="228">
        <v>24990000</v>
      </c>
      <c r="K358" s="225" t="s">
        <v>112</v>
      </c>
      <c r="L358" s="228">
        <v>24990000</v>
      </c>
      <c r="M358" s="225" t="s">
        <v>113</v>
      </c>
      <c r="N358" s="228">
        <v>24990000</v>
      </c>
      <c r="O358" s="226">
        <v>0.83299999999999996</v>
      </c>
      <c r="P358" s="30">
        <v>56000000</v>
      </c>
      <c r="Q358" s="183">
        <f t="shared" si="102"/>
        <v>0.4642857142857143</v>
      </c>
      <c r="R358" s="171">
        <v>56000000</v>
      </c>
    </row>
    <row r="359" spans="1:18" s="177" customFormat="1">
      <c r="A359" s="79"/>
      <c r="B359" s="80"/>
      <c r="C359" s="79"/>
      <c r="D359" s="28" t="s">
        <v>1003</v>
      </c>
      <c r="E359" s="29" t="s">
        <v>1004</v>
      </c>
      <c r="F359" s="30"/>
      <c r="G359" s="30"/>
      <c r="H359" s="30"/>
      <c r="I359" s="30"/>
      <c r="J359" s="30"/>
      <c r="K359" s="30"/>
      <c r="L359" s="30"/>
      <c r="M359" s="30"/>
      <c r="N359" s="30"/>
      <c r="O359" s="159"/>
      <c r="P359" s="30">
        <v>101651705</v>
      </c>
      <c r="Q359" s="183"/>
      <c r="R359" s="171">
        <v>101651705</v>
      </c>
    </row>
    <row r="360" spans="1:18" s="175" customFormat="1">
      <c r="A360" s="89" t="s">
        <v>1005</v>
      </c>
      <c r="B360" s="90" t="s">
        <v>1006</v>
      </c>
      <c r="C360" s="91" t="s">
        <v>1007</v>
      </c>
      <c r="D360" s="92"/>
      <c r="E360" s="37" t="s">
        <v>1008</v>
      </c>
      <c r="F360" s="245">
        <v>120000000</v>
      </c>
      <c r="G360" s="246" t="s">
        <v>35</v>
      </c>
      <c r="H360" s="247">
        <v>45327376</v>
      </c>
      <c r="I360" s="247">
        <v>165327376</v>
      </c>
      <c r="J360" s="247">
        <v>131584724</v>
      </c>
      <c r="K360" s="246" t="s">
        <v>314</v>
      </c>
      <c r="L360" s="247">
        <v>131584724</v>
      </c>
      <c r="M360" s="246" t="s">
        <v>315</v>
      </c>
      <c r="N360" s="247">
        <v>19493390</v>
      </c>
      <c r="O360" s="248">
        <v>0.79590000000000005</v>
      </c>
      <c r="P360" s="93">
        <f t="shared" ref="P360:P362" si="109">+P361</f>
        <v>300000000</v>
      </c>
      <c r="Q360" s="183">
        <f t="shared" si="102"/>
        <v>0.44890874666666669</v>
      </c>
      <c r="R360" s="354">
        <f>+R361</f>
        <v>300000000</v>
      </c>
    </row>
    <row r="361" spans="1:18">
      <c r="A361" s="94" t="s">
        <v>1009</v>
      </c>
      <c r="B361" s="16" t="s">
        <v>1010</v>
      </c>
      <c r="C361" s="12" t="s">
        <v>1011</v>
      </c>
      <c r="D361" s="24"/>
      <c r="E361" s="11" t="s">
        <v>1012</v>
      </c>
      <c r="F361" s="211">
        <v>120000000</v>
      </c>
      <c r="G361" s="212" t="s">
        <v>35</v>
      </c>
      <c r="H361" s="213">
        <v>45327376</v>
      </c>
      <c r="I361" s="213">
        <v>165327376</v>
      </c>
      <c r="J361" s="213">
        <v>131584724</v>
      </c>
      <c r="K361" s="212" t="s">
        <v>314</v>
      </c>
      <c r="L361" s="213">
        <v>131584724</v>
      </c>
      <c r="M361" s="212" t="s">
        <v>315</v>
      </c>
      <c r="N361" s="213">
        <v>19493390</v>
      </c>
      <c r="O361" s="214">
        <v>0.79590000000000005</v>
      </c>
      <c r="P361" s="13">
        <f t="shared" si="109"/>
        <v>300000000</v>
      </c>
      <c r="Q361" s="183">
        <f t="shared" si="102"/>
        <v>0.44890874666666669</v>
      </c>
      <c r="R361" s="349">
        <f>+R362</f>
        <v>300000000</v>
      </c>
    </row>
    <row r="362" spans="1:18" s="177" customFormat="1">
      <c r="A362" s="72" t="s">
        <v>1013</v>
      </c>
      <c r="B362" s="73" t="s">
        <v>989</v>
      </c>
      <c r="C362" s="74" t="s">
        <v>1014</v>
      </c>
      <c r="D362" s="75"/>
      <c r="E362" s="20" t="s">
        <v>1015</v>
      </c>
      <c r="F362" s="206">
        <v>120000000</v>
      </c>
      <c r="G362" s="207" t="s">
        <v>35</v>
      </c>
      <c r="H362" s="208">
        <v>45327376</v>
      </c>
      <c r="I362" s="208">
        <v>165327376</v>
      </c>
      <c r="J362" s="208">
        <v>131584724</v>
      </c>
      <c r="K362" s="207" t="s">
        <v>314</v>
      </c>
      <c r="L362" s="208">
        <v>131584724</v>
      </c>
      <c r="M362" s="207" t="s">
        <v>315</v>
      </c>
      <c r="N362" s="208">
        <v>19493390</v>
      </c>
      <c r="O362" s="209">
        <v>0.79590000000000005</v>
      </c>
      <c r="P362" s="76">
        <f t="shared" si="109"/>
        <v>300000000</v>
      </c>
      <c r="Q362" s="183">
        <f t="shared" si="102"/>
        <v>0.44890874666666669</v>
      </c>
      <c r="R362" s="345">
        <f>+R363</f>
        <v>300000000</v>
      </c>
    </row>
    <row r="363" spans="1:18" s="177" customFormat="1">
      <c r="A363" s="39" t="s">
        <v>1016</v>
      </c>
      <c r="B363" s="95" t="s">
        <v>989</v>
      </c>
      <c r="C363" s="96" t="s">
        <v>1017</v>
      </c>
      <c r="D363" s="38"/>
      <c r="E363" s="39" t="s">
        <v>1018</v>
      </c>
      <c r="F363" s="249">
        <v>120000000</v>
      </c>
      <c r="G363" s="250" t="s">
        <v>35</v>
      </c>
      <c r="H363" s="251">
        <v>45327376</v>
      </c>
      <c r="I363" s="251">
        <v>165327376</v>
      </c>
      <c r="J363" s="251">
        <v>131584724</v>
      </c>
      <c r="K363" s="250" t="s">
        <v>314</v>
      </c>
      <c r="L363" s="251">
        <v>131584724</v>
      </c>
      <c r="M363" s="250" t="s">
        <v>315</v>
      </c>
      <c r="N363" s="251">
        <v>19493390</v>
      </c>
      <c r="O363" s="252">
        <v>0.79590000000000005</v>
      </c>
      <c r="P363" s="97">
        <f t="shared" ref="P363" si="110">+P364+P366</f>
        <v>300000000</v>
      </c>
      <c r="Q363" s="183">
        <f t="shared" si="102"/>
        <v>0.44890874666666669</v>
      </c>
      <c r="R363" s="355">
        <f>+R364+R366</f>
        <v>300000000</v>
      </c>
    </row>
    <row r="364" spans="1:18">
      <c r="A364" s="10"/>
      <c r="B364" s="14" t="s">
        <v>1019</v>
      </c>
      <c r="C364" s="10" t="s">
        <v>1020</v>
      </c>
      <c r="D364" s="25"/>
      <c r="E364" s="9" t="s">
        <v>1021</v>
      </c>
      <c r="F364" s="216">
        <v>20000000</v>
      </c>
      <c r="G364" s="217" t="s">
        <v>48</v>
      </c>
      <c r="H364" s="218">
        <v>-378612</v>
      </c>
      <c r="I364" s="218">
        <v>19621388</v>
      </c>
      <c r="J364" s="218">
        <v>19493390</v>
      </c>
      <c r="K364" s="217" t="s">
        <v>112</v>
      </c>
      <c r="L364" s="218">
        <v>19493390</v>
      </c>
      <c r="M364" s="217" t="s">
        <v>113</v>
      </c>
      <c r="N364" s="218">
        <v>19493390</v>
      </c>
      <c r="O364" s="219">
        <v>0.99350000000000005</v>
      </c>
      <c r="P364" s="8">
        <f t="shared" ref="P364" si="111">+P365</f>
        <v>140000000</v>
      </c>
      <c r="Q364" s="183">
        <f t="shared" si="102"/>
        <v>0.85984722857142859</v>
      </c>
      <c r="R364" s="347">
        <f>+R365</f>
        <v>140000000</v>
      </c>
    </row>
    <row r="365" spans="1:18" s="177" customFormat="1">
      <c r="A365" s="79"/>
      <c r="B365" s="80"/>
      <c r="C365" s="79" t="s">
        <v>1020</v>
      </c>
      <c r="D365" s="28" t="s">
        <v>1022</v>
      </c>
      <c r="E365" s="29" t="s">
        <v>1023</v>
      </c>
      <c r="F365" s="227">
        <v>20000000</v>
      </c>
      <c r="G365" s="225" t="s">
        <v>48</v>
      </c>
      <c r="H365" s="228">
        <v>-378612</v>
      </c>
      <c r="I365" s="228">
        <v>19621388</v>
      </c>
      <c r="J365" s="228">
        <v>19493390</v>
      </c>
      <c r="K365" s="225" t="s">
        <v>112</v>
      </c>
      <c r="L365" s="228">
        <v>19493390</v>
      </c>
      <c r="M365" s="225" t="s">
        <v>113</v>
      </c>
      <c r="N365" s="228">
        <v>19493390</v>
      </c>
      <c r="O365" s="226">
        <v>0.99350000000000005</v>
      </c>
      <c r="P365" s="30">
        <v>140000000</v>
      </c>
      <c r="Q365" s="183">
        <f t="shared" si="102"/>
        <v>0.85984722857142859</v>
      </c>
      <c r="R365" s="171">
        <v>140000000</v>
      </c>
    </row>
    <row r="366" spans="1:18">
      <c r="A366" s="10"/>
      <c r="B366" s="14" t="s">
        <v>1024</v>
      </c>
      <c r="C366" s="10" t="s">
        <v>1025</v>
      </c>
      <c r="D366" s="25"/>
      <c r="E366" s="9" t="s">
        <v>1026</v>
      </c>
      <c r="F366" s="216">
        <v>100000000</v>
      </c>
      <c r="G366" s="217" t="s">
        <v>48</v>
      </c>
      <c r="H366" s="218">
        <v>45705988</v>
      </c>
      <c r="I366" s="218">
        <v>145705988</v>
      </c>
      <c r="J366" s="218">
        <v>112091334</v>
      </c>
      <c r="K366" s="217" t="s">
        <v>112</v>
      </c>
      <c r="L366" s="218">
        <v>112091334</v>
      </c>
      <c r="M366" s="217" t="s">
        <v>113</v>
      </c>
      <c r="N366" s="217" t="s">
        <v>114</v>
      </c>
      <c r="O366" s="219">
        <v>0.76929999999999998</v>
      </c>
      <c r="P366" s="8">
        <f t="shared" ref="P366" si="112">+P367</f>
        <v>160000000</v>
      </c>
      <c r="Q366" s="183">
        <f t="shared" si="102"/>
        <v>8.9337575000000002E-2</v>
      </c>
      <c r="R366" s="347">
        <f>+R367</f>
        <v>160000000</v>
      </c>
    </row>
    <row r="367" spans="1:18" s="177" customFormat="1">
      <c r="A367" s="79"/>
      <c r="B367" s="80"/>
      <c r="C367" s="79" t="s">
        <v>1025</v>
      </c>
      <c r="D367" s="28" t="s">
        <v>1022</v>
      </c>
      <c r="E367" s="29" t="s">
        <v>1023</v>
      </c>
      <c r="F367" s="227">
        <v>100000000</v>
      </c>
      <c r="G367" s="225" t="s">
        <v>48</v>
      </c>
      <c r="H367" s="228">
        <v>45705988</v>
      </c>
      <c r="I367" s="228">
        <v>145705988</v>
      </c>
      <c r="J367" s="228">
        <v>112091334</v>
      </c>
      <c r="K367" s="225" t="s">
        <v>112</v>
      </c>
      <c r="L367" s="228">
        <v>112091334</v>
      </c>
      <c r="M367" s="225" t="s">
        <v>113</v>
      </c>
      <c r="N367" s="225" t="s">
        <v>114</v>
      </c>
      <c r="O367" s="226">
        <v>0.76929999999999998</v>
      </c>
      <c r="P367" s="30">
        <f>90000000+70000000</f>
        <v>160000000</v>
      </c>
      <c r="Q367" s="183">
        <f t="shared" si="102"/>
        <v>8.9337575000000002E-2</v>
      </c>
      <c r="R367" s="171">
        <f>90000000+70000000</f>
        <v>160000000</v>
      </c>
    </row>
    <row r="368" spans="1:18" s="175" customFormat="1">
      <c r="A368" s="89" t="s">
        <v>1027</v>
      </c>
      <c r="B368" s="90" t="s">
        <v>1028</v>
      </c>
      <c r="C368" s="91" t="s">
        <v>1029</v>
      </c>
      <c r="D368" s="92"/>
      <c r="E368" s="37" t="s">
        <v>1030</v>
      </c>
      <c r="F368" s="253">
        <v>2661855000</v>
      </c>
      <c r="G368" s="242" t="s">
        <v>35</v>
      </c>
      <c r="H368" s="243">
        <v>134960000</v>
      </c>
      <c r="I368" s="243">
        <v>2796815000</v>
      </c>
      <c r="J368" s="243">
        <v>2429857803</v>
      </c>
      <c r="K368" s="242" t="s">
        <v>314</v>
      </c>
      <c r="L368" s="243">
        <v>2356814050</v>
      </c>
      <c r="M368" s="242" t="s">
        <v>315</v>
      </c>
      <c r="N368" s="243">
        <v>1332879920</v>
      </c>
      <c r="O368" s="244">
        <v>0.8427</v>
      </c>
      <c r="P368" s="93">
        <f t="shared" ref="P368:P371" si="113">+P369</f>
        <v>5769540000</v>
      </c>
      <c r="Q368" s="183">
        <f t="shared" si="102"/>
        <v>0.51524471621654411</v>
      </c>
      <c r="R368" s="354">
        <f>+R369</f>
        <v>5769540000</v>
      </c>
    </row>
    <row r="369" spans="1:18">
      <c r="A369" s="94" t="s">
        <v>1031</v>
      </c>
      <c r="B369" s="16" t="s">
        <v>1032</v>
      </c>
      <c r="C369" s="12" t="s">
        <v>1033</v>
      </c>
      <c r="D369" s="24"/>
      <c r="E369" s="11" t="s">
        <v>1034</v>
      </c>
      <c r="F369" s="211">
        <v>2661855000</v>
      </c>
      <c r="G369" s="212" t="s">
        <v>35</v>
      </c>
      <c r="H369" s="213">
        <v>134960000</v>
      </c>
      <c r="I369" s="213">
        <v>2796815000</v>
      </c>
      <c r="J369" s="213">
        <v>2429857803</v>
      </c>
      <c r="K369" s="212" t="s">
        <v>314</v>
      </c>
      <c r="L369" s="213">
        <v>2356814050</v>
      </c>
      <c r="M369" s="212" t="s">
        <v>315</v>
      </c>
      <c r="N369" s="213">
        <v>1332879920</v>
      </c>
      <c r="O369" s="214">
        <v>0.8427</v>
      </c>
      <c r="P369" s="13">
        <f t="shared" si="113"/>
        <v>5769540000</v>
      </c>
      <c r="Q369" s="183">
        <f t="shared" si="102"/>
        <v>0.51524471621654411</v>
      </c>
      <c r="R369" s="349">
        <f>+R370</f>
        <v>5769540000</v>
      </c>
    </row>
    <row r="370" spans="1:18">
      <c r="A370" s="72" t="s">
        <v>1035</v>
      </c>
      <c r="B370" s="73" t="s">
        <v>989</v>
      </c>
      <c r="C370" s="74" t="s">
        <v>1036</v>
      </c>
      <c r="D370" s="75"/>
      <c r="E370" s="20" t="s">
        <v>1037</v>
      </c>
      <c r="F370" s="206">
        <v>2661855000</v>
      </c>
      <c r="G370" s="207" t="s">
        <v>35</v>
      </c>
      <c r="H370" s="208">
        <v>134960000</v>
      </c>
      <c r="I370" s="208">
        <v>2796815000</v>
      </c>
      <c r="J370" s="208">
        <v>2429857803</v>
      </c>
      <c r="K370" s="207" t="s">
        <v>314</v>
      </c>
      <c r="L370" s="208">
        <v>2356814050</v>
      </c>
      <c r="M370" s="207" t="s">
        <v>315</v>
      </c>
      <c r="N370" s="208">
        <v>1332879920</v>
      </c>
      <c r="O370" s="209">
        <v>0.8427</v>
      </c>
      <c r="P370" s="76">
        <f t="shared" si="113"/>
        <v>5769540000</v>
      </c>
      <c r="Q370" s="183">
        <f t="shared" si="102"/>
        <v>0.51524471621654411</v>
      </c>
      <c r="R370" s="345">
        <f>+R371</f>
        <v>5769540000</v>
      </c>
    </row>
    <row r="371" spans="1:18" s="177" customFormat="1">
      <c r="A371" s="39" t="s">
        <v>1038</v>
      </c>
      <c r="B371" s="95" t="s">
        <v>989</v>
      </c>
      <c r="C371" s="96" t="s">
        <v>1039</v>
      </c>
      <c r="D371" s="38"/>
      <c r="E371" s="39" t="s">
        <v>1040</v>
      </c>
      <c r="F371" s="249">
        <v>2661855000</v>
      </c>
      <c r="G371" s="250" t="s">
        <v>35</v>
      </c>
      <c r="H371" s="251">
        <v>134960000</v>
      </c>
      <c r="I371" s="251">
        <v>2796815000</v>
      </c>
      <c r="J371" s="251">
        <v>2429857803</v>
      </c>
      <c r="K371" s="250" t="s">
        <v>314</v>
      </c>
      <c r="L371" s="251">
        <v>2356814050</v>
      </c>
      <c r="M371" s="250" t="s">
        <v>315</v>
      </c>
      <c r="N371" s="251">
        <v>1332879920</v>
      </c>
      <c r="O371" s="252">
        <v>0.8427</v>
      </c>
      <c r="P371" s="97">
        <f t="shared" si="113"/>
        <v>5769540000</v>
      </c>
      <c r="Q371" s="183">
        <f t="shared" si="102"/>
        <v>0.51524471621654411</v>
      </c>
      <c r="R371" s="355">
        <f>+R372</f>
        <v>5769540000</v>
      </c>
    </row>
    <row r="372" spans="1:18">
      <c r="A372" s="10"/>
      <c r="B372" s="14" t="s">
        <v>1041</v>
      </c>
      <c r="C372" s="10" t="s">
        <v>1042</v>
      </c>
      <c r="D372" s="25"/>
      <c r="E372" s="9" t="s">
        <v>1043</v>
      </c>
      <c r="F372" s="216">
        <v>2661855000</v>
      </c>
      <c r="G372" s="217" t="s">
        <v>48</v>
      </c>
      <c r="H372" s="218">
        <v>134960000</v>
      </c>
      <c r="I372" s="218">
        <v>2796815000</v>
      </c>
      <c r="J372" s="218">
        <v>2429857803</v>
      </c>
      <c r="K372" s="217" t="s">
        <v>112</v>
      </c>
      <c r="L372" s="218">
        <v>2356814050</v>
      </c>
      <c r="M372" s="217" t="s">
        <v>113</v>
      </c>
      <c r="N372" s="218">
        <v>1332879920</v>
      </c>
      <c r="O372" s="219">
        <v>0.8427</v>
      </c>
      <c r="P372" s="8">
        <f t="shared" ref="P372" si="114">SUM(P373:P377)</f>
        <v>5769540000</v>
      </c>
      <c r="Q372" s="183">
        <f t="shared" si="102"/>
        <v>0.51524471621654411</v>
      </c>
      <c r="R372" s="347">
        <f>SUM(R373:R377)</f>
        <v>5769540000</v>
      </c>
    </row>
    <row r="373" spans="1:18" s="177" customFormat="1">
      <c r="A373" s="79"/>
      <c r="B373" s="80"/>
      <c r="C373" s="79" t="s">
        <v>1042</v>
      </c>
      <c r="D373" s="28" t="s">
        <v>1044</v>
      </c>
      <c r="E373" s="29" t="s">
        <v>1045</v>
      </c>
      <c r="F373" s="227">
        <v>1336055000</v>
      </c>
      <c r="G373" s="225" t="s">
        <v>48</v>
      </c>
      <c r="H373" s="225" t="s">
        <v>48</v>
      </c>
      <c r="I373" s="228">
        <v>1336055000</v>
      </c>
      <c r="J373" s="228">
        <v>1094877803</v>
      </c>
      <c r="K373" s="225" t="s">
        <v>112</v>
      </c>
      <c r="L373" s="228">
        <v>1021834050</v>
      </c>
      <c r="M373" s="225" t="s">
        <v>113</v>
      </c>
      <c r="N373" s="225" t="s">
        <v>114</v>
      </c>
      <c r="O373" s="226">
        <v>0.76480000000000004</v>
      </c>
      <c r="P373" s="30">
        <f>90000000+350000000+4500000+2000000+600000000+195000000+195000000+800000000+90000000</f>
        <v>2326500000</v>
      </c>
      <c r="Q373" s="183">
        <f t="shared" si="102"/>
        <v>0.42572318934021064</v>
      </c>
      <c r="R373" s="171">
        <f>90000000+350000000+4500000+2000000+600000000+195000000+195000000+800000000+90000000</f>
        <v>2326500000</v>
      </c>
    </row>
    <row r="374" spans="1:18" s="177" customFormat="1">
      <c r="A374" s="79"/>
      <c r="B374" s="80"/>
      <c r="C374" s="79" t="s">
        <v>1042</v>
      </c>
      <c r="D374" s="28" t="s">
        <v>1046</v>
      </c>
      <c r="E374" s="29" t="s">
        <v>1047</v>
      </c>
      <c r="F374" s="227">
        <v>20000000</v>
      </c>
      <c r="G374" s="225" t="s">
        <v>48</v>
      </c>
      <c r="H374" s="225" t="s">
        <v>48</v>
      </c>
      <c r="I374" s="228">
        <v>20000000</v>
      </c>
      <c r="J374" s="225" t="s">
        <v>305</v>
      </c>
      <c r="K374" s="225" t="s">
        <v>112</v>
      </c>
      <c r="L374" s="225" t="s">
        <v>112</v>
      </c>
      <c r="M374" s="225" t="s">
        <v>113</v>
      </c>
      <c r="N374" s="225" t="s">
        <v>114</v>
      </c>
      <c r="O374" s="226">
        <v>0</v>
      </c>
      <c r="P374" s="30">
        <v>21040000</v>
      </c>
      <c r="Q374" s="183">
        <f t="shared" si="102"/>
        <v>4.9429657794676805E-2</v>
      </c>
      <c r="R374" s="171">
        <v>21040000</v>
      </c>
    </row>
    <row r="375" spans="1:18" s="177" customFormat="1">
      <c r="A375" s="79"/>
      <c r="B375" s="80"/>
      <c r="C375" s="79" t="s">
        <v>1042</v>
      </c>
      <c r="D375" s="28" t="s">
        <v>1048</v>
      </c>
      <c r="E375" s="29" t="s">
        <v>1049</v>
      </c>
      <c r="F375" s="227">
        <v>5800000</v>
      </c>
      <c r="G375" s="225" t="s">
        <v>48</v>
      </c>
      <c r="H375" s="225" t="s">
        <v>48</v>
      </c>
      <c r="I375" s="228">
        <v>5800000</v>
      </c>
      <c r="J375" s="225" t="s">
        <v>305</v>
      </c>
      <c r="K375" s="225" t="s">
        <v>112</v>
      </c>
      <c r="L375" s="225" t="s">
        <v>112</v>
      </c>
      <c r="M375" s="225" t="s">
        <v>113</v>
      </c>
      <c r="N375" s="225" t="s">
        <v>114</v>
      </c>
      <c r="O375" s="226">
        <v>0</v>
      </c>
      <c r="P375" s="30"/>
      <c r="Q375" s="183" t="e">
        <f t="shared" si="102"/>
        <v>#DIV/0!</v>
      </c>
      <c r="R375" s="171"/>
    </row>
    <row r="376" spans="1:18" s="177" customFormat="1">
      <c r="A376" s="79"/>
      <c r="B376" s="80"/>
      <c r="C376" s="79" t="s">
        <v>1042</v>
      </c>
      <c r="D376" s="28" t="s">
        <v>1050</v>
      </c>
      <c r="E376" s="29" t="s">
        <v>1051</v>
      </c>
      <c r="F376" s="227">
        <v>1300000000</v>
      </c>
      <c r="G376" s="225" t="s">
        <v>48</v>
      </c>
      <c r="H376" s="228">
        <v>99960000</v>
      </c>
      <c r="I376" s="228">
        <v>1399960000</v>
      </c>
      <c r="J376" s="228">
        <v>1300000000</v>
      </c>
      <c r="K376" s="225" t="s">
        <v>112</v>
      </c>
      <c r="L376" s="228">
        <v>1300000000</v>
      </c>
      <c r="M376" s="225" t="s">
        <v>113</v>
      </c>
      <c r="N376" s="228">
        <v>1297899920</v>
      </c>
      <c r="O376" s="226">
        <v>0.92859999999999998</v>
      </c>
      <c r="P376" s="30">
        <f>800000000+500000000+2035000000</f>
        <v>3335000000</v>
      </c>
      <c r="Q376" s="183">
        <f t="shared" si="102"/>
        <v>0.58022188905547223</v>
      </c>
      <c r="R376" s="171">
        <f>800000000+500000000+2035000000</f>
        <v>3335000000</v>
      </c>
    </row>
    <row r="377" spans="1:18" s="177" customFormat="1">
      <c r="A377" s="79"/>
      <c r="B377" s="80"/>
      <c r="C377" s="79" t="s">
        <v>1042</v>
      </c>
      <c r="D377" s="28" t="s">
        <v>1001</v>
      </c>
      <c r="E377" s="29" t="s">
        <v>1002</v>
      </c>
      <c r="F377" s="224" t="s">
        <v>304</v>
      </c>
      <c r="G377" s="225" t="s">
        <v>48</v>
      </c>
      <c r="H377" s="228">
        <v>35000000</v>
      </c>
      <c r="I377" s="228">
        <v>35000000</v>
      </c>
      <c r="J377" s="228">
        <v>34980000</v>
      </c>
      <c r="K377" s="225" t="s">
        <v>112</v>
      </c>
      <c r="L377" s="228">
        <v>34980000</v>
      </c>
      <c r="M377" s="225" t="s">
        <v>113</v>
      </c>
      <c r="N377" s="228">
        <v>34980000</v>
      </c>
      <c r="O377" s="226">
        <v>0.99939999999999996</v>
      </c>
      <c r="P377" s="30">
        <v>87000000</v>
      </c>
      <c r="Q377" s="183">
        <f t="shared" si="102"/>
        <v>0.5977011494252874</v>
      </c>
      <c r="R377" s="171">
        <v>87000000</v>
      </c>
    </row>
    <row r="378" spans="1:18" s="175" customFormat="1">
      <c r="A378" s="33" t="s">
        <v>1052</v>
      </c>
      <c r="B378" s="84" t="s">
        <v>1053</v>
      </c>
      <c r="C378" s="33" t="s">
        <v>1054</v>
      </c>
      <c r="D378" s="85"/>
      <c r="E378" s="33" t="s">
        <v>1055</v>
      </c>
      <c r="F378" s="233">
        <v>112808946000</v>
      </c>
      <c r="G378" s="235">
        <v>18098914566</v>
      </c>
      <c r="H378" s="235">
        <v>23045425489</v>
      </c>
      <c r="I378" s="235">
        <v>135854371489</v>
      </c>
      <c r="J378" s="235">
        <v>108878540174</v>
      </c>
      <c r="K378" s="235">
        <v>5014675687</v>
      </c>
      <c r="L378" s="235">
        <v>102853330304</v>
      </c>
      <c r="M378" s="235">
        <v>9612415579</v>
      </c>
      <c r="N378" s="235">
        <v>69361686579</v>
      </c>
      <c r="O378" s="236">
        <v>0.7571</v>
      </c>
      <c r="P378" s="34">
        <f t="shared" ref="P378" si="115">+P379+P430</f>
        <v>154331383214.35001</v>
      </c>
      <c r="Q378" s="183">
        <f t="shared" si="102"/>
        <v>0.11972297105435378</v>
      </c>
      <c r="R378" s="352">
        <f>+R379+R430</f>
        <v>154331383214.35001</v>
      </c>
    </row>
    <row r="379" spans="1:18" s="175" customFormat="1">
      <c r="A379" s="86" t="s">
        <v>1056</v>
      </c>
      <c r="B379" s="87" t="s">
        <v>1057</v>
      </c>
      <c r="C379" s="35" t="s">
        <v>1058</v>
      </c>
      <c r="D379" s="88"/>
      <c r="E379" s="35" t="s">
        <v>1059</v>
      </c>
      <c r="F379" s="237">
        <v>1230433000</v>
      </c>
      <c r="G379" s="238" t="s">
        <v>48</v>
      </c>
      <c r="H379" s="239">
        <v>-14656253</v>
      </c>
      <c r="I379" s="239">
        <v>1215776747</v>
      </c>
      <c r="J379" s="239">
        <v>1002297203</v>
      </c>
      <c r="K379" s="239">
        <v>15000000</v>
      </c>
      <c r="L379" s="239">
        <v>992504526</v>
      </c>
      <c r="M379" s="239">
        <v>83849271</v>
      </c>
      <c r="N379" s="239">
        <v>676833487</v>
      </c>
      <c r="O379" s="240">
        <v>0.81640000000000001</v>
      </c>
      <c r="P379" s="36">
        <f t="shared" ref="P379" si="116">+P380+P385+P410</f>
        <v>3266883862</v>
      </c>
      <c r="Q379" s="183">
        <f t="shared" si="102"/>
        <v>0.6278481885622661</v>
      </c>
      <c r="R379" s="353">
        <f>+R380+R385+R410</f>
        <v>3266883862</v>
      </c>
    </row>
    <row r="380" spans="1:18" s="175" customFormat="1">
      <c r="A380" s="89" t="s">
        <v>1060</v>
      </c>
      <c r="B380" s="90" t="s">
        <v>1061</v>
      </c>
      <c r="C380" s="91" t="s">
        <v>1062</v>
      </c>
      <c r="D380" s="92"/>
      <c r="E380" s="37" t="s">
        <v>1063</v>
      </c>
      <c r="F380" s="253">
        <v>310000000</v>
      </c>
      <c r="G380" s="242" t="s">
        <v>35</v>
      </c>
      <c r="H380" s="243">
        <v>-7600000</v>
      </c>
      <c r="I380" s="243">
        <v>302400000</v>
      </c>
      <c r="J380" s="243">
        <v>293625122</v>
      </c>
      <c r="K380" s="242" t="s">
        <v>314</v>
      </c>
      <c r="L380" s="243">
        <v>293625122</v>
      </c>
      <c r="M380" s="242" t="s">
        <v>315</v>
      </c>
      <c r="N380" s="243">
        <v>52292170</v>
      </c>
      <c r="O380" s="244">
        <v>0.97099999999999997</v>
      </c>
      <c r="P380" s="93">
        <f t="shared" ref="P380:P381" si="117">+P381</f>
        <v>395032000</v>
      </c>
      <c r="Q380" s="183">
        <f t="shared" si="102"/>
        <v>0.23449239555276535</v>
      </c>
      <c r="R380" s="354">
        <f>+R381</f>
        <v>395032000</v>
      </c>
    </row>
    <row r="381" spans="1:18">
      <c r="A381" s="94" t="s">
        <v>1064</v>
      </c>
      <c r="B381" s="16" t="s">
        <v>1065</v>
      </c>
      <c r="C381" s="12" t="s">
        <v>1066</v>
      </c>
      <c r="D381" s="24"/>
      <c r="E381" s="11" t="s">
        <v>1067</v>
      </c>
      <c r="F381" s="211">
        <v>310000000</v>
      </c>
      <c r="G381" s="212" t="s">
        <v>35</v>
      </c>
      <c r="H381" s="213">
        <v>-7600000</v>
      </c>
      <c r="I381" s="213">
        <v>302400000</v>
      </c>
      <c r="J381" s="213">
        <v>293625122</v>
      </c>
      <c r="K381" s="212" t="s">
        <v>314</v>
      </c>
      <c r="L381" s="213">
        <v>293625122</v>
      </c>
      <c r="M381" s="212" t="s">
        <v>315</v>
      </c>
      <c r="N381" s="213">
        <v>52292170</v>
      </c>
      <c r="O381" s="214">
        <v>0.97099999999999997</v>
      </c>
      <c r="P381" s="13">
        <f t="shared" si="117"/>
        <v>395032000</v>
      </c>
      <c r="Q381" s="183">
        <f t="shared" si="102"/>
        <v>0.23449239555276535</v>
      </c>
      <c r="R381" s="349">
        <f>+R382</f>
        <v>395032000</v>
      </c>
    </row>
    <row r="382" spans="1:18" ht="12.95" customHeight="1">
      <c r="A382" s="10" t="s">
        <v>1068</v>
      </c>
      <c r="B382" s="14" t="s">
        <v>1069</v>
      </c>
      <c r="C382" s="10" t="s">
        <v>1070</v>
      </c>
      <c r="D382" s="25"/>
      <c r="E382" s="9" t="s">
        <v>1071</v>
      </c>
      <c r="F382" s="216">
        <v>310000000</v>
      </c>
      <c r="G382" s="217" t="s">
        <v>48</v>
      </c>
      <c r="H382" s="218">
        <v>-7600000</v>
      </c>
      <c r="I382" s="218">
        <v>302400000</v>
      </c>
      <c r="J382" s="218">
        <v>293625122</v>
      </c>
      <c r="K382" s="217" t="s">
        <v>112</v>
      </c>
      <c r="L382" s="218">
        <v>293625122</v>
      </c>
      <c r="M382" s="217" t="s">
        <v>113</v>
      </c>
      <c r="N382" s="218">
        <v>52292170</v>
      </c>
      <c r="O382" s="219">
        <v>0.97099999999999997</v>
      </c>
      <c r="P382" s="8">
        <f t="shared" ref="P382" si="118">SUM(P383:P384)</f>
        <v>395032000</v>
      </c>
      <c r="Q382" s="183">
        <f t="shared" si="102"/>
        <v>0.23449239555276535</v>
      </c>
      <c r="R382" s="347">
        <f>SUM(R383:R384)</f>
        <v>395032000</v>
      </c>
    </row>
    <row r="383" spans="1:18" s="177" customFormat="1">
      <c r="A383" s="79"/>
      <c r="B383" s="80"/>
      <c r="C383" s="79" t="s">
        <v>1070</v>
      </c>
      <c r="D383" s="28" t="s">
        <v>1022</v>
      </c>
      <c r="E383" s="29" t="s">
        <v>1023</v>
      </c>
      <c r="F383" s="227">
        <v>150000000</v>
      </c>
      <c r="G383" s="225" t="s">
        <v>48</v>
      </c>
      <c r="H383" s="228">
        <v>-7600000</v>
      </c>
      <c r="I383" s="228">
        <v>142400000</v>
      </c>
      <c r="J383" s="228">
        <v>142007222</v>
      </c>
      <c r="K383" s="225" t="s">
        <v>112</v>
      </c>
      <c r="L383" s="228">
        <v>142007222</v>
      </c>
      <c r="M383" s="225" t="s">
        <v>113</v>
      </c>
      <c r="N383" s="228">
        <v>52292170</v>
      </c>
      <c r="O383" s="226">
        <v>0.99719999999999998</v>
      </c>
      <c r="P383" s="30">
        <f>160000000+63000000</f>
        <v>223000000</v>
      </c>
      <c r="Q383" s="183">
        <f t="shared" si="102"/>
        <v>0.36143497757847531</v>
      </c>
      <c r="R383" s="171">
        <f>160000000+63000000</f>
        <v>223000000</v>
      </c>
    </row>
    <row r="384" spans="1:18" s="177" customFormat="1">
      <c r="A384" s="79"/>
      <c r="B384" s="80"/>
      <c r="C384" s="79" t="s">
        <v>1070</v>
      </c>
      <c r="D384" s="28" t="s">
        <v>346</v>
      </c>
      <c r="E384" s="29" t="s">
        <v>347</v>
      </c>
      <c r="F384" s="227">
        <v>160000000</v>
      </c>
      <c r="G384" s="225" t="s">
        <v>48</v>
      </c>
      <c r="H384" s="225" t="s">
        <v>48</v>
      </c>
      <c r="I384" s="228">
        <v>160000000</v>
      </c>
      <c r="J384" s="228">
        <v>151617900</v>
      </c>
      <c r="K384" s="225" t="s">
        <v>112</v>
      </c>
      <c r="L384" s="228">
        <v>151617900</v>
      </c>
      <c r="M384" s="225" t="s">
        <v>113</v>
      </c>
      <c r="N384" s="225" t="s">
        <v>114</v>
      </c>
      <c r="O384" s="226">
        <v>0.9476</v>
      </c>
      <c r="P384" s="30">
        <v>172032000</v>
      </c>
      <c r="Q384" s="183">
        <f t="shared" si="102"/>
        <v>6.9940476190476192E-2</v>
      </c>
      <c r="R384" s="171">
        <v>172032000</v>
      </c>
    </row>
    <row r="385" spans="1:18" s="175" customFormat="1">
      <c r="A385" s="89" t="s">
        <v>1072</v>
      </c>
      <c r="B385" s="90" t="s">
        <v>1073</v>
      </c>
      <c r="C385" s="91" t="s">
        <v>1074</v>
      </c>
      <c r="D385" s="92"/>
      <c r="E385" s="37" t="s">
        <v>1075</v>
      </c>
      <c r="F385" s="253">
        <v>552640000</v>
      </c>
      <c r="G385" s="242" t="s">
        <v>35</v>
      </c>
      <c r="H385" s="243">
        <v>-15000000</v>
      </c>
      <c r="I385" s="243">
        <v>537640000</v>
      </c>
      <c r="J385" s="243">
        <v>381935334</v>
      </c>
      <c r="K385" s="243">
        <v>15000000</v>
      </c>
      <c r="L385" s="243">
        <v>381935334</v>
      </c>
      <c r="M385" s="243">
        <v>32732256</v>
      </c>
      <c r="N385" s="243">
        <v>352874053</v>
      </c>
      <c r="O385" s="244">
        <v>0.71040000000000003</v>
      </c>
      <c r="P385" s="93">
        <f t="shared" ref="P385" si="119">+P386+P394+P399+P402+P407</f>
        <v>877393862</v>
      </c>
      <c r="Q385" s="183">
        <f t="shared" si="102"/>
        <v>0.38723072580601209</v>
      </c>
      <c r="R385" s="354">
        <f>+R386+R394+R399+R402+R407</f>
        <v>877393862</v>
      </c>
    </row>
    <row r="386" spans="1:18">
      <c r="A386" s="94" t="s">
        <v>1076</v>
      </c>
      <c r="B386" s="16" t="s">
        <v>1077</v>
      </c>
      <c r="C386" s="12" t="s">
        <v>1078</v>
      </c>
      <c r="D386" s="24"/>
      <c r="E386" s="11" t="s">
        <v>1079</v>
      </c>
      <c r="F386" s="211">
        <v>305887000</v>
      </c>
      <c r="G386" s="212" t="s">
        <v>35</v>
      </c>
      <c r="H386" s="212" t="s">
        <v>35</v>
      </c>
      <c r="I386" s="213">
        <v>305887000</v>
      </c>
      <c r="J386" s="213">
        <v>247908652</v>
      </c>
      <c r="K386" s="212" t="s">
        <v>314</v>
      </c>
      <c r="L386" s="213">
        <v>247908652</v>
      </c>
      <c r="M386" s="212" t="s">
        <v>315</v>
      </c>
      <c r="N386" s="213">
        <v>242588757</v>
      </c>
      <c r="O386" s="214">
        <v>0.8105</v>
      </c>
      <c r="P386" s="13">
        <f t="shared" ref="P386" si="120">+P387+P393</f>
        <v>522213862</v>
      </c>
      <c r="Q386" s="183">
        <f t="shared" si="102"/>
        <v>0.41424955892879001</v>
      </c>
      <c r="R386" s="349">
        <f>+R387+R393</f>
        <v>522213862</v>
      </c>
    </row>
    <row r="387" spans="1:18">
      <c r="A387" s="10" t="s">
        <v>1080</v>
      </c>
      <c r="B387" s="14" t="s">
        <v>1081</v>
      </c>
      <c r="C387" s="10" t="s">
        <v>1082</v>
      </c>
      <c r="D387" s="25"/>
      <c r="E387" s="9" t="s">
        <v>1083</v>
      </c>
      <c r="F387" s="216">
        <v>305887000</v>
      </c>
      <c r="G387" s="217" t="s">
        <v>48</v>
      </c>
      <c r="H387" s="217" t="s">
        <v>48</v>
      </c>
      <c r="I387" s="218">
        <v>305887000</v>
      </c>
      <c r="J387" s="218">
        <v>247908652</v>
      </c>
      <c r="K387" s="217" t="s">
        <v>112</v>
      </c>
      <c r="L387" s="218">
        <v>247908652</v>
      </c>
      <c r="M387" s="217" t="s">
        <v>113</v>
      </c>
      <c r="N387" s="218">
        <v>242588757</v>
      </c>
      <c r="O387" s="219">
        <v>0.8105</v>
      </c>
      <c r="P387" s="8">
        <f>SUM(P388:P392)</f>
        <v>522213862</v>
      </c>
      <c r="Q387" s="183">
        <f t="shared" si="102"/>
        <v>0.41424955892879001</v>
      </c>
      <c r="R387" s="347">
        <f>SUM(R388:R392)</f>
        <v>522213862</v>
      </c>
    </row>
    <row r="388" spans="1:18" s="177" customFormat="1">
      <c r="A388" s="79"/>
      <c r="B388" s="80"/>
      <c r="C388" s="79" t="s">
        <v>1082</v>
      </c>
      <c r="D388" s="28" t="s">
        <v>999</v>
      </c>
      <c r="E388" s="29" t="s">
        <v>1000</v>
      </c>
      <c r="F388" s="227">
        <v>109113000</v>
      </c>
      <c r="G388" s="225" t="s">
        <v>48</v>
      </c>
      <c r="H388" s="225" t="s">
        <v>48</v>
      </c>
      <c r="I388" s="228">
        <v>109113000</v>
      </c>
      <c r="J388" s="228">
        <v>58124753</v>
      </c>
      <c r="K388" s="225" t="s">
        <v>112</v>
      </c>
      <c r="L388" s="228">
        <v>58124753</v>
      </c>
      <c r="M388" s="225" t="s">
        <v>113</v>
      </c>
      <c r="N388" s="228">
        <v>58124753</v>
      </c>
      <c r="O388" s="226">
        <v>0.53269999999999995</v>
      </c>
      <c r="P388" s="30">
        <v>114045000</v>
      </c>
      <c r="Q388" s="183">
        <f t="shared" si="102"/>
        <v>4.3246087070893072E-2</v>
      </c>
      <c r="R388" s="171">
        <v>114045000</v>
      </c>
    </row>
    <row r="389" spans="1:18" s="177" customFormat="1">
      <c r="A389" s="79"/>
      <c r="B389" s="80"/>
      <c r="C389" s="79" t="s">
        <v>1082</v>
      </c>
      <c r="D389" s="28" t="s">
        <v>1084</v>
      </c>
      <c r="E389" s="29" t="s">
        <v>1085</v>
      </c>
      <c r="F389" s="227">
        <v>5774000</v>
      </c>
      <c r="G389" s="225" t="s">
        <v>48</v>
      </c>
      <c r="H389" s="225" t="s">
        <v>48</v>
      </c>
      <c r="I389" s="228">
        <v>5774000</v>
      </c>
      <c r="J389" s="225" t="s">
        <v>305</v>
      </c>
      <c r="K389" s="225" t="s">
        <v>112</v>
      </c>
      <c r="L389" s="225" t="s">
        <v>112</v>
      </c>
      <c r="M389" s="225" t="s">
        <v>113</v>
      </c>
      <c r="N389" s="225" t="s">
        <v>114</v>
      </c>
      <c r="O389" s="226">
        <v>0</v>
      </c>
      <c r="P389" s="30">
        <v>6073131</v>
      </c>
      <c r="Q389" s="183">
        <f t="shared" si="102"/>
        <v>4.9254824241400361E-2</v>
      </c>
      <c r="R389" s="171">
        <v>6073131</v>
      </c>
    </row>
    <row r="390" spans="1:18" s="177" customFormat="1">
      <c r="A390" s="79"/>
      <c r="B390" s="80"/>
      <c r="C390" s="79" t="s">
        <v>1082</v>
      </c>
      <c r="D390" s="28" t="s">
        <v>1086</v>
      </c>
      <c r="E390" s="29" t="s">
        <v>1087</v>
      </c>
      <c r="F390" s="227">
        <v>11000000</v>
      </c>
      <c r="G390" s="225" t="s">
        <v>48</v>
      </c>
      <c r="H390" s="225" t="s">
        <v>48</v>
      </c>
      <c r="I390" s="228">
        <v>11000000</v>
      </c>
      <c r="J390" s="228">
        <v>9833327</v>
      </c>
      <c r="K390" s="225" t="s">
        <v>112</v>
      </c>
      <c r="L390" s="228">
        <v>9833327</v>
      </c>
      <c r="M390" s="225" t="s">
        <v>113</v>
      </c>
      <c r="N390" s="228">
        <v>4513432</v>
      </c>
      <c r="O390" s="226">
        <v>0.89390000000000003</v>
      </c>
      <c r="P390" s="30">
        <v>137735731</v>
      </c>
      <c r="Q390" s="183">
        <f t="shared" si="102"/>
        <v>0.92013691784886231</v>
      </c>
      <c r="R390" s="171">
        <v>137735731</v>
      </c>
    </row>
    <row r="391" spans="1:18" s="177" customFormat="1">
      <c r="A391" s="79"/>
      <c r="B391" s="80"/>
      <c r="C391" s="79" t="s">
        <v>1082</v>
      </c>
      <c r="D391" s="28" t="s">
        <v>1046</v>
      </c>
      <c r="E391" s="29" t="s">
        <v>1047</v>
      </c>
      <c r="F391" s="227">
        <v>180000000</v>
      </c>
      <c r="G391" s="225" t="s">
        <v>48</v>
      </c>
      <c r="H391" s="225" t="s">
        <v>48</v>
      </c>
      <c r="I391" s="228">
        <v>180000000</v>
      </c>
      <c r="J391" s="228">
        <v>179950572</v>
      </c>
      <c r="K391" s="225" t="s">
        <v>112</v>
      </c>
      <c r="L391" s="228">
        <v>179950572</v>
      </c>
      <c r="M391" s="225" t="s">
        <v>113</v>
      </c>
      <c r="N391" s="228">
        <v>179950572</v>
      </c>
      <c r="O391" s="226">
        <v>0.99970000000000003</v>
      </c>
      <c r="P391" s="30">
        <v>189360000</v>
      </c>
      <c r="Q391" s="183">
        <f t="shared" si="102"/>
        <v>4.9429657794676805E-2</v>
      </c>
      <c r="R391" s="171">
        <v>189360000</v>
      </c>
    </row>
    <row r="392" spans="1:18" s="177" customFormat="1">
      <c r="A392" s="79"/>
      <c r="B392" s="80"/>
      <c r="C392" s="79"/>
      <c r="D392" s="28" t="s">
        <v>1088</v>
      </c>
      <c r="E392" s="29" t="s">
        <v>1089</v>
      </c>
      <c r="F392" s="30"/>
      <c r="G392" s="30"/>
      <c r="H392" s="30"/>
      <c r="I392" s="30"/>
      <c r="J392" s="30"/>
      <c r="K392" s="30"/>
      <c r="L392" s="30"/>
      <c r="M392" s="30"/>
      <c r="N392" s="30"/>
      <c r="O392" s="159"/>
      <c r="P392" s="30">
        <v>75000000</v>
      </c>
      <c r="Q392" s="183">
        <f t="shared" si="102"/>
        <v>1</v>
      </c>
      <c r="R392" s="171">
        <v>75000000</v>
      </c>
    </row>
    <row r="393" spans="1:18" s="176" customFormat="1">
      <c r="A393" s="10" t="s">
        <v>1090</v>
      </c>
      <c r="B393" s="14" t="s">
        <v>989</v>
      </c>
      <c r="C393" s="10" t="s">
        <v>1091</v>
      </c>
      <c r="D393" s="25"/>
      <c r="E393" s="9" t="s">
        <v>1092</v>
      </c>
      <c r="F393" s="254" t="s">
        <v>304</v>
      </c>
      <c r="G393" s="255" t="s">
        <v>48</v>
      </c>
      <c r="H393" s="255" t="s">
        <v>48</v>
      </c>
      <c r="I393" s="255" t="s">
        <v>304</v>
      </c>
      <c r="J393" s="255" t="s">
        <v>305</v>
      </c>
      <c r="K393" s="255" t="s">
        <v>112</v>
      </c>
      <c r="L393" s="255" t="s">
        <v>112</v>
      </c>
      <c r="M393" s="255" t="s">
        <v>113</v>
      </c>
      <c r="N393" s="255" t="s">
        <v>114</v>
      </c>
      <c r="O393" s="256">
        <v>0</v>
      </c>
      <c r="P393" s="8"/>
      <c r="Q393" s="183" t="e">
        <f t="shared" si="102"/>
        <v>#VALUE!</v>
      </c>
      <c r="R393" s="347"/>
    </row>
    <row r="394" spans="1:18">
      <c r="A394" s="94" t="s">
        <v>1093</v>
      </c>
      <c r="B394" s="16" t="s">
        <v>1094</v>
      </c>
      <c r="C394" s="12" t="s">
        <v>1095</v>
      </c>
      <c r="D394" s="24"/>
      <c r="E394" s="11" t="s">
        <v>1096</v>
      </c>
      <c r="F394" s="211">
        <v>52865000</v>
      </c>
      <c r="G394" s="212" t="s">
        <v>35</v>
      </c>
      <c r="H394" s="213">
        <v>15000000</v>
      </c>
      <c r="I394" s="213">
        <v>67865000</v>
      </c>
      <c r="J394" s="213">
        <v>46719000</v>
      </c>
      <c r="K394" s="213">
        <v>15000000</v>
      </c>
      <c r="L394" s="213">
        <v>46719000</v>
      </c>
      <c r="M394" s="213">
        <v>3694114</v>
      </c>
      <c r="N394" s="213">
        <v>22977614</v>
      </c>
      <c r="O394" s="214">
        <v>0.68840000000000001</v>
      </c>
      <c r="P394" s="13">
        <f t="shared" ref="P394" si="121">+P395+P397</f>
        <v>87048000</v>
      </c>
      <c r="Q394" s="183">
        <f t="shared" si="102"/>
        <v>0.22037266795331312</v>
      </c>
      <c r="R394" s="349">
        <f>+R395+R397</f>
        <v>87048000</v>
      </c>
    </row>
    <row r="395" spans="1:18" s="176" customFormat="1">
      <c r="A395" s="10" t="s">
        <v>1097</v>
      </c>
      <c r="B395" s="14" t="s">
        <v>1098</v>
      </c>
      <c r="C395" s="10" t="s">
        <v>1099</v>
      </c>
      <c r="D395" s="25"/>
      <c r="E395" s="9" t="s">
        <v>1100</v>
      </c>
      <c r="F395" s="216">
        <v>31719000</v>
      </c>
      <c r="G395" s="217" t="s">
        <v>48</v>
      </c>
      <c r="H395" s="218">
        <v>15000000</v>
      </c>
      <c r="I395" s="218">
        <v>46719000</v>
      </c>
      <c r="J395" s="218">
        <v>46719000</v>
      </c>
      <c r="K395" s="218">
        <v>15000000</v>
      </c>
      <c r="L395" s="218">
        <v>46719000</v>
      </c>
      <c r="M395" s="218">
        <v>3694114</v>
      </c>
      <c r="N395" s="218">
        <v>22977614</v>
      </c>
      <c r="O395" s="219">
        <v>1</v>
      </c>
      <c r="P395" s="8">
        <f t="shared" ref="P395" si="122">+P396</f>
        <v>62548000</v>
      </c>
      <c r="Q395" s="183">
        <f t="shared" si="102"/>
        <v>0.25306964251454883</v>
      </c>
      <c r="R395" s="347">
        <f>+R396</f>
        <v>62548000</v>
      </c>
    </row>
    <row r="396" spans="1:18" s="177" customFormat="1">
      <c r="A396" s="79"/>
      <c r="B396" s="80"/>
      <c r="C396" s="79" t="s">
        <v>1099</v>
      </c>
      <c r="D396" s="28" t="s">
        <v>1101</v>
      </c>
      <c r="E396" s="29" t="s">
        <v>1102</v>
      </c>
      <c r="F396" s="227">
        <v>31719000</v>
      </c>
      <c r="G396" s="225" t="s">
        <v>48</v>
      </c>
      <c r="H396" s="228">
        <v>15000000</v>
      </c>
      <c r="I396" s="228">
        <v>46719000</v>
      </c>
      <c r="J396" s="228">
        <v>46719000</v>
      </c>
      <c r="K396" s="228">
        <v>15000000</v>
      </c>
      <c r="L396" s="228">
        <v>46719000</v>
      </c>
      <c r="M396" s="228">
        <v>3694114</v>
      </c>
      <c r="N396" s="228">
        <v>22977614</v>
      </c>
      <c r="O396" s="226">
        <v>1</v>
      </c>
      <c r="P396" s="30">
        <v>62548000</v>
      </c>
      <c r="Q396" s="183">
        <f t="shared" si="102"/>
        <v>0.25306964251454883</v>
      </c>
      <c r="R396" s="171">
        <v>62548000</v>
      </c>
    </row>
    <row r="397" spans="1:18">
      <c r="A397" s="10" t="s">
        <v>1103</v>
      </c>
      <c r="B397" s="14" t="s">
        <v>1104</v>
      </c>
      <c r="C397" s="10" t="s">
        <v>1105</v>
      </c>
      <c r="D397" s="25"/>
      <c r="E397" s="9" t="s">
        <v>1106</v>
      </c>
      <c r="F397" s="216">
        <v>21146000</v>
      </c>
      <c r="G397" s="217" t="s">
        <v>48</v>
      </c>
      <c r="H397" s="217" t="s">
        <v>48</v>
      </c>
      <c r="I397" s="218">
        <v>21146000</v>
      </c>
      <c r="J397" s="217" t="s">
        <v>305</v>
      </c>
      <c r="K397" s="217" t="s">
        <v>112</v>
      </c>
      <c r="L397" s="217" t="s">
        <v>112</v>
      </c>
      <c r="M397" s="217" t="s">
        <v>113</v>
      </c>
      <c r="N397" s="217" t="s">
        <v>114</v>
      </c>
      <c r="O397" s="219">
        <v>0</v>
      </c>
      <c r="P397" s="8">
        <f t="shared" ref="P397" si="123">SUM(P398:P398)</f>
        <v>24500000</v>
      </c>
      <c r="Q397" s="183">
        <f t="shared" si="102"/>
        <v>0.13689795918367348</v>
      </c>
      <c r="R397" s="347">
        <f>SUM(R398:R398)</f>
        <v>24500000</v>
      </c>
    </row>
    <row r="398" spans="1:18" s="177" customFormat="1">
      <c r="A398" s="79"/>
      <c r="B398" s="80"/>
      <c r="C398" s="79" t="s">
        <v>1105</v>
      </c>
      <c r="D398" s="28" t="s">
        <v>1101</v>
      </c>
      <c r="E398" s="29" t="s">
        <v>1102</v>
      </c>
      <c r="F398" s="227">
        <v>21146000</v>
      </c>
      <c r="G398" s="225" t="s">
        <v>48</v>
      </c>
      <c r="H398" s="225" t="s">
        <v>48</v>
      </c>
      <c r="I398" s="228">
        <v>21146000</v>
      </c>
      <c r="J398" s="225" t="s">
        <v>305</v>
      </c>
      <c r="K398" s="225" t="s">
        <v>112</v>
      </c>
      <c r="L398" s="225" t="s">
        <v>112</v>
      </c>
      <c r="M398" s="225" t="s">
        <v>113</v>
      </c>
      <c r="N398" s="225" t="s">
        <v>114</v>
      </c>
      <c r="O398" s="226">
        <v>0</v>
      </c>
      <c r="P398" s="30">
        <v>24500000</v>
      </c>
      <c r="Q398" s="183">
        <f t="shared" si="102"/>
        <v>0.13689795918367348</v>
      </c>
      <c r="R398" s="171">
        <v>24500000</v>
      </c>
    </row>
    <row r="399" spans="1:18">
      <c r="A399" s="94" t="s">
        <v>1107</v>
      </c>
      <c r="B399" s="16" t="s">
        <v>1108</v>
      </c>
      <c r="C399" s="12" t="s">
        <v>1109</v>
      </c>
      <c r="D399" s="24"/>
      <c r="E399" s="11" t="s">
        <v>1110</v>
      </c>
      <c r="F399" s="211">
        <v>100000000</v>
      </c>
      <c r="G399" s="212" t="s">
        <v>35</v>
      </c>
      <c r="H399" s="213">
        <v>-30000000</v>
      </c>
      <c r="I399" s="213">
        <v>70000000</v>
      </c>
      <c r="J399" s="212" t="s">
        <v>476</v>
      </c>
      <c r="K399" s="212" t="s">
        <v>314</v>
      </c>
      <c r="L399" s="212" t="s">
        <v>314</v>
      </c>
      <c r="M399" s="212" t="s">
        <v>315</v>
      </c>
      <c r="N399" s="212" t="s">
        <v>448</v>
      </c>
      <c r="O399" s="214">
        <v>0</v>
      </c>
      <c r="P399" s="13">
        <f t="shared" ref="P399:P400" si="124">+P400</f>
        <v>140000000</v>
      </c>
      <c r="Q399" s="183">
        <f t="shared" si="102"/>
        <v>0.5</v>
      </c>
      <c r="R399" s="349">
        <f>+R400</f>
        <v>140000000</v>
      </c>
    </row>
    <row r="400" spans="1:18" s="176" customFormat="1">
      <c r="A400" s="10" t="s">
        <v>1111</v>
      </c>
      <c r="B400" s="14" t="s">
        <v>1112</v>
      </c>
      <c r="C400" s="10" t="s">
        <v>1113</v>
      </c>
      <c r="D400" s="25"/>
      <c r="E400" s="9" t="s">
        <v>1114</v>
      </c>
      <c r="F400" s="216">
        <v>100000000</v>
      </c>
      <c r="G400" s="217" t="s">
        <v>48</v>
      </c>
      <c r="H400" s="218">
        <v>-30000000</v>
      </c>
      <c r="I400" s="218">
        <v>70000000</v>
      </c>
      <c r="J400" s="217" t="s">
        <v>305</v>
      </c>
      <c r="K400" s="217" t="s">
        <v>112</v>
      </c>
      <c r="L400" s="217" t="s">
        <v>112</v>
      </c>
      <c r="M400" s="217" t="s">
        <v>113</v>
      </c>
      <c r="N400" s="217" t="s">
        <v>114</v>
      </c>
      <c r="O400" s="219">
        <v>0</v>
      </c>
      <c r="P400" s="8">
        <f t="shared" si="124"/>
        <v>140000000</v>
      </c>
      <c r="Q400" s="183">
        <f t="shared" ref="Q400:Q469" si="125">+(P400-I400)/P400</f>
        <v>0.5</v>
      </c>
      <c r="R400" s="347">
        <f>+R401</f>
        <v>140000000</v>
      </c>
    </row>
    <row r="401" spans="1:18" s="177" customFormat="1">
      <c r="A401" s="79"/>
      <c r="B401" s="80"/>
      <c r="C401" s="79" t="s">
        <v>1113</v>
      </c>
      <c r="D401" s="28" t="s">
        <v>1022</v>
      </c>
      <c r="E401" s="29" t="s">
        <v>1023</v>
      </c>
      <c r="F401" s="227">
        <v>100000000</v>
      </c>
      <c r="G401" s="225" t="s">
        <v>48</v>
      </c>
      <c r="H401" s="228">
        <v>-30000000</v>
      </c>
      <c r="I401" s="228">
        <v>70000000</v>
      </c>
      <c r="J401" s="225" t="s">
        <v>305</v>
      </c>
      <c r="K401" s="225" t="s">
        <v>112</v>
      </c>
      <c r="L401" s="225" t="s">
        <v>112</v>
      </c>
      <c r="M401" s="225" t="s">
        <v>113</v>
      </c>
      <c r="N401" s="225" t="s">
        <v>114</v>
      </c>
      <c r="O401" s="226">
        <v>0</v>
      </c>
      <c r="P401" s="30">
        <f>60000000+60000000+20000000</f>
        <v>140000000</v>
      </c>
      <c r="Q401" s="183">
        <f t="shared" si="125"/>
        <v>0.5</v>
      </c>
      <c r="R401" s="171">
        <f>60000000+60000000+20000000</f>
        <v>140000000</v>
      </c>
    </row>
    <row r="402" spans="1:18">
      <c r="A402" s="94" t="s">
        <v>1115</v>
      </c>
      <c r="B402" s="16" t="s">
        <v>1116</v>
      </c>
      <c r="C402" s="12" t="s">
        <v>1117</v>
      </c>
      <c r="D402" s="24"/>
      <c r="E402" s="11" t="s">
        <v>1118</v>
      </c>
      <c r="F402" s="211">
        <v>93888000</v>
      </c>
      <c r="G402" s="212" t="s">
        <v>35</v>
      </c>
      <c r="H402" s="212" t="s">
        <v>35</v>
      </c>
      <c r="I402" s="213">
        <v>93888000</v>
      </c>
      <c r="J402" s="213">
        <v>87307682</v>
      </c>
      <c r="K402" s="212" t="s">
        <v>314</v>
      </c>
      <c r="L402" s="213">
        <v>87307682</v>
      </c>
      <c r="M402" s="213">
        <v>29038142</v>
      </c>
      <c r="N402" s="213">
        <v>87307682</v>
      </c>
      <c r="O402" s="214">
        <v>0.92989999999999995</v>
      </c>
      <c r="P402" s="13">
        <f t="shared" ref="P402" si="126">P403+P404+P405</f>
        <v>98132000</v>
      </c>
      <c r="Q402" s="183">
        <f t="shared" si="125"/>
        <v>4.3247870215627933E-2</v>
      </c>
      <c r="R402" s="349">
        <f>R403+R404+R405</f>
        <v>98132000</v>
      </c>
    </row>
    <row r="403" spans="1:18" s="176" customFormat="1">
      <c r="A403" s="10" t="s">
        <v>1119</v>
      </c>
      <c r="B403" s="14" t="s">
        <v>989</v>
      </c>
      <c r="C403" s="10" t="s">
        <v>1120</v>
      </c>
      <c r="D403" s="25"/>
      <c r="E403" s="9" t="s">
        <v>1121</v>
      </c>
      <c r="F403" s="215" t="s">
        <v>304</v>
      </c>
      <c r="G403" s="217" t="s">
        <v>48</v>
      </c>
      <c r="H403" s="217" t="s">
        <v>48</v>
      </c>
      <c r="I403" s="217" t="s">
        <v>304</v>
      </c>
      <c r="J403" s="217" t="s">
        <v>305</v>
      </c>
      <c r="K403" s="217" t="s">
        <v>112</v>
      </c>
      <c r="L403" s="217" t="s">
        <v>112</v>
      </c>
      <c r="M403" s="217" t="s">
        <v>113</v>
      </c>
      <c r="N403" s="217" t="s">
        <v>114</v>
      </c>
      <c r="O403" s="232">
        <v>0</v>
      </c>
      <c r="P403" s="8"/>
      <c r="Q403" s="183" t="e">
        <f t="shared" si="125"/>
        <v>#VALUE!</v>
      </c>
      <c r="R403" s="347"/>
    </row>
    <row r="404" spans="1:18" s="176" customFormat="1">
      <c r="A404" s="10" t="s">
        <v>1122</v>
      </c>
      <c r="B404" s="14" t="s">
        <v>989</v>
      </c>
      <c r="C404" s="10" t="s">
        <v>1123</v>
      </c>
      <c r="D404" s="25"/>
      <c r="E404" s="9" t="s">
        <v>1124</v>
      </c>
      <c r="F404" s="215" t="s">
        <v>304</v>
      </c>
      <c r="G404" s="217" t="s">
        <v>48</v>
      </c>
      <c r="H404" s="217" t="s">
        <v>48</v>
      </c>
      <c r="I404" s="217" t="s">
        <v>304</v>
      </c>
      <c r="J404" s="217" t="s">
        <v>305</v>
      </c>
      <c r="K404" s="217" t="s">
        <v>112</v>
      </c>
      <c r="L404" s="217" t="s">
        <v>112</v>
      </c>
      <c r="M404" s="217" t="s">
        <v>113</v>
      </c>
      <c r="N404" s="217" t="s">
        <v>114</v>
      </c>
      <c r="O404" s="232">
        <v>0</v>
      </c>
      <c r="P404" s="8"/>
      <c r="Q404" s="183" t="e">
        <f t="shared" si="125"/>
        <v>#VALUE!</v>
      </c>
      <c r="R404" s="347"/>
    </row>
    <row r="405" spans="1:18" s="176" customFormat="1">
      <c r="A405" s="10" t="s">
        <v>1125</v>
      </c>
      <c r="B405" s="14" t="s">
        <v>1126</v>
      </c>
      <c r="C405" s="10" t="s">
        <v>1127</v>
      </c>
      <c r="D405" s="25"/>
      <c r="E405" s="9" t="s">
        <v>1128</v>
      </c>
      <c r="F405" s="216">
        <v>93888000</v>
      </c>
      <c r="G405" s="217" t="s">
        <v>48</v>
      </c>
      <c r="H405" s="217" t="s">
        <v>48</v>
      </c>
      <c r="I405" s="218">
        <v>93888000</v>
      </c>
      <c r="J405" s="218">
        <v>87307682</v>
      </c>
      <c r="K405" s="217" t="s">
        <v>112</v>
      </c>
      <c r="L405" s="218">
        <v>87307682</v>
      </c>
      <c r="M405" s="218">
        <v>29038142</v>
      </c>
      <c r="N405" s="218">
        <v>87307682</v>
      </c>
      <c r="O405" s="219">
        <v>0.92989999999999995</v>
      </c>
      <c r="P405" s="8">
        <f t="shared" ref="P405" si="127">SUM(P406:P406)</f>
        <v>98132000</v>
      </c>
      <c r="Q405" s="183">
        <f t="shared" si="125"/>
        <v>4.3247870215627933E-2</v>
      </c>
      <c r="R405" s="347">
        <f>SUM(R406:R406)</f>
        <v>98132000</v>
      </c>
    </row>
    <row r="406" spans="1:18" s="177" customFormat="1">
      <c r="A406" s="79"/>
      <c r="B406" s="80"/>
      <c r="C406" s="79" t="s">
        <v>1127</v>
      </c>
      <c r="D406" s="28" t="s">
        <v>999</v>
      </c>
      <c r="E406" s="29" t="s">
        <v>1000</v>
      </c>
      <c r="F406" s="227">
        <v>93888000</v>
      </c>
      <c r="G406" s="225" t="s">
        <v>48</v>
      </c>
      <c r="H406" s="225" t="s">
        <v>48</v>
      </c>
      <c r="I406" s="228">
        <v>93888000</v>
      </c>
      <c r="J406" s="228">
        <v>87307682</v>
      </c>
      <c r="K406" s="225" t="s">
        <v>112</v>
      </c>
      <c r="L406" s="228">
        <v>87307682</v>
      </c>
      <c r="M406" s="228">
        <v>29038142</v>
      </c>
      <c r="N406" s="228">
        <v>87307682</v>
      </c>
      <c r="O406" s="226">
        <v>0.92989999999999995</v>
      </c>
      <c r="P406" s="30">
        <v>98132000</v>
      </c>
      <c r="Q406" s="183">
        <f t="shared" si="125"/>
        <v>4.3247870215627933E-2</v>
      </c>
      <c r="R406" s="171">
        <v>98132000</v>
      </c>
    </row>
    <row r="407" spans="1:18">
      <c r="A407" s="94" t="s">
        <v>1129</v>
      </c>
      <c r="B407" s="16" t="s">
        <v>989</v>
      </c>
      <c r="C407" s="12" t="s">
        <v>1130</v>
      </c>
      <c r="D407" s="24"/>
      <c r="E407" s="11" t="s">
        <v>1131</v>
      </c>
      <c r="F407" s="210" t="s">
        <v>475</v>
      </c>
      <c r="G407" s="212" t="s">
        <v>35</v>
      </c>
      <c r="H407" s="212" t="s">
        <v>35</v>
      </c>
      <c r="I407" s="212" t="s">
        <v>475</v>
      </c>
      <c r="J407" s="212" t="s">
        <v>476</v>
      </c>
      <c r="K407" s="212" t="s">
        <v>314</v>
      </c>
      <c r="L407" s="212" t="s">
        <v>314</v>
      </c>
      <c r="M407" s="212" t="s">
        <v>315</v>
      </c>
      <c r="N407" s="212" t="s">
        <v>448</v>
      </c>
      <c r="O407" s="214">
        <v>0</v>
      </c>
      <c r="P407" s="13">
        <f t="shared" ref="P407" si="128">+P408</f>
        <v>30000000</v>
      </c>
      <c r="Q407" s="183" t="e">
        <f t="shared" si="125"/>
        <v>#VALUE!</v>
      </c>
      <c r="R407" s="349">
        <f>+R408</f>
        <v>30000000</v>
      </c>
    </row>
    <row r="408" spans="1:18">
      <c r="A408" s="10" t="s">
        <v>1132</v>
      </c>
      <c r="B408" s="14" t="s">
        <v>989</v>
      </c>
      <c r="C408" s="10" t="s">
        <v>1133</v>
      </c>
      <c r="D408" s="25"/>
      <c r="E408" s="9" t="s">
        <v>1134</v>
      </c>
      <c r="F408" s="215" t="s">
        <v>304</v>
      </c>
      <c r="G408" s="217" t="s">
        <v>48</v>
      </c>
      <c r="H408" s="217" t="s">
        <v>48</v>
      </c>
      <c r="I408" s="217" t="s">
        <v>304</v>
      </c>
      <c r="J408" s="217" t="s">
        <v>305</v>
      </c>
      <c r="K408" s="217" t="s">
        <v>112</v>
      </c>
      <c r="L408" s="217" t="s">
        <v>112</v>
      </c>
      <c r="M408" s="217" t="s">
        <v>113</v>
      </c>
      <c r="N408" s="217" t="s">
        <v>114</v>
      </c>
      <c r="O408" s="219">
        <v>0</v>
      </c>
      <c r="P408" s="8">
        <f>+P409</f>
        <v>30000000</v>
      </c>
      <c r="Q408" s="183" t="e">
        <f t="shared" si="125"/>
        <v>#VALUE!</v>
      </c>
      <c r="R408" s="347">
        <f>+R409</f>
        <v>30000000</v>
      </c>
    </row>
    <row r="409" spans="1:18">
      <c r="A409" s="168"/>
      <c r="B409" s="172"/>
      <c r="C409" s="168"/>
      <c r="D409" s="173" t="s">
        <v>423</v>
      </c>
      <c r="E409" s="174" t="s">
        <v>1135</v>
      </c>
      <c r="F409" s="169"/>
      <c r="G409" s="169"/>
      <c r="H409" s="169"/>
      <c r="I409" s="169"/>
      <c r="J409" s="169"/>
      <c r="K409" s="169"/>
      <c r="L409" s="169"/>
      <c r="M409" s="169"/>
      <c r="N409" s="169"/>
      <c r="O409" s="170"/>
      <c r="P409" s="169">
        <v>30000000</v>
      </c>
      <c r="Q409" s="183"/>
      <c r="R409" s="356">
        <v>30000000</v>
      </c>
    </row>
    <row r="410" spans="1:18" s="175" customFormat="1">
      <c r="A410" s="89" t="s">
        <v>1136</v>
      </c>
      <c r="B410" s="90" t="s">
        <v>1137</v>
      </c>
      <c r="C410" s="91" t="s">
        <v>1138</v>
      </c>
      <c r="D410" s="92"/>
      <c r="E410" s="37" t="s">
        <v>1139</v>
      </c>
      <c r="F410" s="245">
        <v>367793000</v>
      </c>
      <c r="G410" s="246" t="s">
        <v>35</v>
      </c>
      <c r="H410" s="247">
        <v>7943747</v>
      </c>
      <c r="I410" s="247">
        <v>375736747</v>
      </c>
      <c r="J410" s="247">
        <v>326736747</v>
      </c>
      <c r="K410" s="246" t="s">
        <v>314</v>
      </c>
      <c r="L410" s="247">
        <v>316944070</v>
      </c>
      <c r="M410" s="247">
        <v>51117015</v>
      </c>
      <c r="N410" s="247">
        <v>271667264</v>
      </c>
      <c r="O410" s="248">
        <v>0.84350000000000003</v>
      </c>
      <c r="P410" s="93">
        <f t="shared" ref="P410" si="129">+P411+P417+P420+P423</f>
        <v>1994458000</v>
      </c>
      <c r="Q410" s="183">
        <f t="shared" si="125"/>
        <v>0.81160959669243471</v>
      </c>
      <c r="R410" s="354">
        <f>+R411+R417+R420+R423</f>
        <v>1994458000</v>
      </c>
    </row>
    <row r="411" spans="1:18">
      <c r="A411" s="94" t="s">
        <v>1140</v>
      </c>
      <c r="B411" s="16" t="s">
        <v>1141</v>
      </c>
      <c r="C411" s="12" t="s">
        <v>1142</v>
      </c>
      <c r="D411" s="24"/>
      <c r="E411" s="11" t="s">
        <v>1143</v>
      </c>
      <c r="F411" s="211">
        <v>298793000</v>
      </c>
      <c r="G411" s="212" t="s">
        <v>35</v>
      </c>
      <c r="H411" s="213">
        <v>9792677</v>
      </c>
      <c r="I411" s="213">
        <v>308585677</v>
      </c>
      <c r="J411" s="213">
        <v>308585677</v>
      </c>
      <c r="K411" s="212" t="s">
        <v>314</v>
      </c>
      <c r="L411" s="213">
        <v>298793000</v>
      </c>
      <c r="M411" s="213">
        <v>51117015</v>
      </c>
      <c r="N411" s="213">
        <v>253516194</v>
      </c>
      <c r="O411" s="214">
        <v>0.96830000000000005</v>
      </c>
      <c r="P411" s="13">
        <f t="shared" ref="P411" si="130">+P412+P413+P414</f>
        <v>794458000</v>
      </c>
      <c r="Q411" s="183">
        <f t="shared" si="125"/>
        <v>0.61157710413892241</v>
      </c>
      <c r="R411" s="349">
        <f>+R412+R413+R414</f>
        <v>794458000</v>
      </c>
    </row>
    <row r="412" spans="1:18">
      <c r="A412" s="10" t="s">
        <v>1144</v>
      </c>
      <c r="B412" s="14" t="s">
        <v>989</v>
      </c>
      <c r="C412" s="10" t="s">
        <v>1145</v>
      </c>
      <c r="D412" s="25"/>
      <c r="E412" s="9" t="s">
        <v>1146</v>
      </c>
      <c r="F412" s="215" t="s">
        <v>304</v>
      </c>
      <c r="G412" s="217" t="s">
        <v>48</v>
      </c>
      <c r="H412" s="217" t="s">
        <v>48</v>
      </c>
      <c r="I412" s="217" t="s">
        <v>304</v>
      </c>
      <c r="J412" s="217" t="s">
        <v>305</v>
      </c>
      <c r="K412" s="217" t="s">
        <v>112</v>
      </c>
      <c r="L412" s="217" t="s">
        <v>112</v>
      </c>
      <c r="M412" s="217" t="s">
        <v>113</v>
      </c>
      <c r="N412" s="217" t="s">
        <v>114</v>
      </c>
      <c r="O412" s="219">
        <v>0</v>
      </c>
      <c r="P412" s="8"/>
      <c r="Q412" s="183" t="e">
        <f t="shared" si="125"/>
        <v>#VALUE!</v>
      </c>
      <c r="R412" s="347"/>
    </row>
    <row r="413" spans="1:18">
      <c r="A413" s="10" t="s">
        <v>1147</v>
      </c>
      <c r="B413" s="14" t="s">
        <v>1148</v>
      </c>
      <c r="C413" s="10" t="s">
        <v>1149</v>
      </c>
      <c r="D413" s="25"/>
      <c r="E413" s="9" t="s">
        <v>1150</v>
      </c>
      <c r="F413" s="215" t="s">
        <v>304</v>
      </c>
      <c r="G413" s="217" t="s">
        <v>48</v>
      </c>
      <c r="H413" s="217" t="s">
        <v>48</v>
      </c>
      <c r="I413" s="217" t="s">
        <v>304</v>
      </c>
      <c r="J413" s="217" t="s">
        <v>305</v>
      </c>
      <c r="K413" s="217" t="s">
        <v>112</v>
      </c>
      <c r="L413" s="217" t="s">
        <v>112</v>
      </c>
      <c r="M413" s="217" t="s">
        <v>113</v>
      </c>
      <c r="N413" s="217" t="s">
        <v>114</v>
      </c>
      <c r="O413" s="219">
        <v>0</v>
      </c>
      <c r="P413" s="8"/>
      <c r="Q413" s="183" t="e">
        <f t="shared" si="125"/>
        <v>#VALUE!</v>
      </c>
      <c r="R413" s="347"/>
    </row>
    <row r="414" spans="1:18">
      <c r="A414" s="10" t="s">
        <v>1151</v>
      </c>
      <c r="B414" s="14" t="s">
        <v>1152</v>
      </c>
      <c r="C414" s="10" t="s">
        <v>1153</v>
      </c>
      <c r="D414" s="25"/>
      <c r="E414" s="9" t="s">
        <v>1154</v>
      </c>
      <c r="F414" s="216">
        <v>298793000</v>
      </c>
      <c r="G414" s="217" t="s">
        <v>48</v>
      </c>
      <c r="H414" s="218">
        <v>9792677</v>
      </c>
      <c r="I414" s="218">
        <v>308585677</v>
      </c>
      <c r="J414" s="218">
        <v>308585677</v>
      </c>
      <c r="K414" s="217" t="s">
        <v>112</v>
      </c>
      <c r="L414" s="218">
        <v>298793000</v>
      </c>
      <c r="M414" s="218">
        <v>51117015</v>
      </c>
      <c r="N414" s="218">
        <v>253516194</v>
      </c>
      <c r="O414" s="219">
        <v>0.96830000000000005</v>
      </c>
      <c r="P414" s="8">
        <f t="shared" ref="P414" si="131">SUM(P415:P416)</f>
        <v>794458000</v>
      </c>
      <c r="Q414" s="183">
        <f t="shared" si="125"/>
        <v>0.61157710413892241</v>
      </c>
      <c r="R414" s="347">
        <f>SUM(R415:R416)</f>
        <v>794458000</v>
      </c>
    </row>
    <row r="415" spans="1:18" s="177" customFormat="1">
      <c r="A415" s="79"/>
      <c r="B415" s="80"/>
      <c r="C415" s="79" t="s">
        <v>1153</v>
      </c>
      <c r="D415" s="28" t="s">
        <v>1101</v>
      </c>
      <c r="E415" s="29" t="s">
        <v>1102</v>
      </c>
      <c r="F415" s="227">
        <v>260108000</v>
      </c>
      <c r="G415" s="225" t="s">
        <v>48</v>
      </c>
      <c r="H415" s="228">
        <v>9792677</v>
      </c>
      <c r="I415" s="228">
        <v>269900677</v>
      </c>
      <c r="J415" s="228">
        <v>269900677</v>
      </c>
      <c r="K415" s="225" t="s">
        <v>112</v>
      </c>
      <c r="L415" s="228">
        <v>260108000</v>
      </c>
      <c r="M415" s="228">
        <v>51117015</v>
      </c>
      <c r="N415" s="228">
        <v>253516194</v>
      </c>
      <c r="O415" s="226">
        <v>0.9637</v>
      </c>
      <c r="P415" s="30">
        <v>644458000</v>
      </c>
      <c r="Q415" s="183">
        <f t="shared" si="125"/>
        <v>0.58119741395094793</v>
      </c>
      <c r="R415" s="171">
        <v>644458000</v>
      </c>
    </row>
    <row r="416" spans="1:18" s="177" customFormat="1">
      <c r="A416" s="79"/>
      <c r="B416" s="80"/>
      <c r="C416" s="79" t="s">
        <v>1153</v>
      </c>
      <c r="D416" s="28" t="s">
        <v>1044</v>
      </c>
      <c r="E416" s="29" t="s">
        <v>1045</v>
      </c>
      <c r="F416" s="227">
        <v>38685000</v>
      </c>
      <c r="G416" s="225" t="s">
        <v>48</v>
      </c>
      <c r="H416" s="225" t="s">
        <v>48</v>
      </c>
      <c r="I416" s="228">
        <v>38685000</v>
      </c>
      <c r="J416" s="228">
        <v>38685000</v>
      </c>
      <c r="K416" s="225" t="s">
        <v>112</v>
      </c>
      <c r="L416" s="228">
        <v>38685000</v>
      </c>
      <c r="M416" s="225" t="s">
        <v>113</v>
      </c>
      <c r="N416" s="225" t="s">
        <v>114</v>
      </c>
      <c r="O416" s="226">
        <v>1</v>
      </c>
      <c r="P416" s="30">
        <v>150000000</v>
      </c>
      <c r="Q416" s="183">
        <f t="shared" si="125"/>
        <v>0.74209999999999998</v>
      </c>
      <c r="R416" s="171">
        <v>150000000</v>
      </c>
    </row>
    <row r="417" spans="1:18">
      <c r="A417" s="94" t="s">
        <v>1155</v>
      </c>
      <c r="B417" s="16" t="s">
        <v>1156</v>
      </c>
      <c r="C417" s="12" t="s">
        <v>1157</v>
      </c>
      <c r="D417" s="24"/>
      <c r="E417" s="11" t="s">
        <v>1158</v>
      </c>
      <c r="F417" s="211">
        <v>20000000</v>
      </c>
      <c r="G417" s="212" t="s">
        <v>35</v>
      </c>
      <c r="H417" s="213">
        <v>-1848930</v>
      </c>
      <c r="I417" s="213">
        <v>18151070</v>
      </c>
      <c r="J417" s="213">
        <v>18151070</v>
      </c>
      <c r="K417" s="212" t="s">
        <v>314</v>
      </c>
      <c r="L417" s="213">
        <v>18151070</v>
      </c>
      <c r="M417" s="212" t="s">
        <v>315</v>
      </c>
      <c r="N417" s="213">
        <v>18151070</v>
      </c>
      <c r="O417" s="214">
        <v>1</v>
      </c>
      <c r="P417" s="13">
        <f t="shared" ref="P417:P418" si="132">+P418</f>
        <v>30000000</v>
      </c>
      <c r="Q417" s="183">
        <f t="shared" si="125"/>
        <v>0.39496433333333331</v>
      </c>
      <c r="R417" s="349">
        <f>+R418</f>
        <v>30000000</v>
      </c>
    </row>
    <row r="418" spans="1:18">
      <c r="A418" s="10" t="s">
        <v>1159</v>
      </c>
      <c r="B418" s="14" t="s">
        <v>1160</v>
      </c>
      <c r="C418" s="10" t="s">
        <v>1161</v>
      </c>
      <c r="D418" s="25"/>
      <c r="E418" s="9" t="s">
        <v>1162</v>
      </c>
      <c r="F418" s="216">
        <v>20000000</v>
      </c>
      <c r="G418" s="217" t="s">
        <v>48</v>
      </c>
      <c r="H418" s="218">
        <v>-1848930</v>
      </c>
      <c r="I418" s="218">
        <v>18151070</v>
      </c>
      <c r="J418" s="218">
        <v>18151070</v>
      </c>
      <c r="K418" s="217" t="s">
        <v>112</v>
      </c>
      <c r="L418" s="218">
        <v>18151070</v>
      </c>
      <c r="M418" s="217" t="s">
        <v>113</v>
      </c>
      <c r="N418" s="218">
        <v>18151070</v>
      </c>
      <c r="O418" s="219">
        <v>1</v>
      </c>
      <c r="P418" s="8">
        <f t="shared" si="132"/>
        <v>30000000</v>
      </c>
      <c r="Q418" s="183">
        <f t="shared" si="125"/>
        <v>0.39496433333333331</v>
      </c>
      <c r="R418" s="347">
        <f>+R419</f>
        <v>30000000</v>
      </c>
    </row>
    <row r="419" spans="1:18" s="177" customFormat="1">
      <c r="A419" s="79"/>
      <c r="B419" s="80"/>
      <c r="C419" s="79" t="s">
        <v>1161</v>
      </c>
      <c r="D419" s="28" t="s">
        <v>1022</v>
      </c>
      <c r="E419" s="29" t="s">
        <v>1023</v>
      </c>
      <c r="F419" s="227">
        <v>20000000</v>
      </c>
      <c r="G419" s="225" t="s">
        <v>48</v>
      </c>
      <c r="H419" s="228">
        <v>-1848930</v>
      </c>
      <c r="I419" s="228">
        <v>18151070</v>
      </c>
      <c r="J419" s="228">
        <v>18151070</v>
      </c>
      <c r="K419" s="225" t="s">
        <v>112</v>
      </c>
      <c r="L419" s="228">
        <v>18151070</v>
      </c>
      <c r="M419" s="225" t="s">
        <v>113</v>
      </c>
      <c r="N419" s="228">
        <v>18151070</v>
      </c>
      <c r="O419" s="226">
        <v>1</v>
      </c>
      <c r="P419" s="30">
        <v>30000000</v>
      </c>
      <c r="Q419" s="183">
        <f t="shared" si="125"/>
        <v>0.39496433333333331</v>
      </c>
      <c r="R419" s="171">
        <v>30000000</v>
      </c>
    </row>
    <row r="420" spans="1:18">
      <c r="A420" s="94" t="s">
        <v>1163</v>
      </c>
      <c r="B420" s="16" t="s">
        <v>993</v>
      </c>
      <c r="C420" s="12" t="s">
        <v>1164</v>
      </c>
      <c r="D420" s="24"/>
      <c r="E420" s="11" t="s">
        <v>995</v>
      </c>
      <c r="F420" s="211">
        <v>49000000</v>
      </c>
      <c r="G420" s="212" t="s">
        <v>35</v>
      </c>
      <c r="H420" s="212" t="s">
        <v>35</v>
      </c>
      <c r="I420" s="213">
        <v>49000000</v>
      </c>
      <c r="J420" s="212" t="s">
        <v>476</v>
      </c>
      <c r="K420" s="212" t="s">
        <v>314</v>
      </c>
      <c r="L420" s="212" t="s">
        <v>314</v>
      </c>
      <c r="M420" s="212" t="s">
        <v>315</v>
      </c>
      <c r="N420" s="212" t="s">
        <v>448</v>
      </c>
      <c r="O420" s="214">
        <v>0</v>
      </c>
      <c r="P420" s="13">
        <f t="shared" ref="P420:P421" si="133">+P421</f>
        <v>550000000</v>
      </c>
      <c r="Q420" s="183">
        <f t="shared" si="125"/>
        <v>0.91090909090909089</v>
      </c>
      <c r="R420" s="349">
        <f>+R421</f>
        <v>550000000</v>
      </c>
    </row>
    <row r="421" spans="1:18">
      <c r="A421" s="10" t="s">
        <v>1165</v>
      </c>
      <c r="B421" s="14" t="s">
        <v>1166</v>
      </c>
      <c r="C421" s="10" t="s">
        <v>1167</v>
      </c>
      <c r="D421" s="25"/>
      <c r="E421" s="9" t="s">
        <v>1168</v>
      </c>
      <c r="F421" s="216">
        <v>49000000</v>
      </c>
      <c r="G421" s="217" t="s">
        <v>48</v>
      </c>
      <c r="H421" s="217" t="s">
        <v>48</v>
      </c>
      <c r="I421" s="218">
        <v>49000000</v>
      </c>
      <c r="J421" s="217" t="s">
        <v>305</v>
      </c>
      <c r="K421" s="217" t="s">
        <v>112</v>
      </c>
      <c r="L421" s="217" t="s">
        <v>112</v>
      </c>
      <c r="M421" s="217" t="s">
        <v>113</v>
      </c>
      <c r="N421" s="217" t="s">
        <v>114</v>
      </c>
      <c r="O421" s="219">
        <v>0</v>
      </c>
      <c r="P421" s="8">
        <f t="shared" si="133"/>
        <v>550000000</v>
      </c>
      <c r="Q421" s="183">
        <f t="shared" si="125"/>
        <v>0.91090909090909089</v>
      </c>
      <c r="R421" s="347">
        <f>+R422</f>
        <v>550000000</v>
      </c>
    </row>
    <row r="422" spans="1:18" s="177" customFormat="1">
      <c r="A422" s="79"/>
      <c r="B422" s="80"/>
      <c r="C422" s="79" t="s">
        <v>1167</v>
      </c>
      <c r="D422" s="28" t="s">
        <v>1046</v>
      </c>
      <c r="E422" s="29" t="s">
        <v>1047</v>
      </c>
      <c r="F422" s="227">
        <v>49000000</v>
      </c>
      <c r="G422" s="225" t="s">
        <v>48</v>
      </c>
      <c r="H422" s="225" t="s">
        <v>48</v>
      </c>
      <c r="I422" s="228">
        <v>49000000</v>
      </c>
      <c r="J422" s="225" t="s">
        <v>305</v>
      </c>
      <c r="K422" s="225" t="s">
        <v>112</v>
      </c>
      <c r="L422" s="225" t="s">
        <v>112</v>
      </c>
      <c r="M422" s="225" t="s">
        <v>113</v>
      </c>
      <c r="N422" s="225" t="s">
        <v>114</v>
      </c>
      <c r="O422" s="226">
        <v>0</v>
      </c>
      <c r="P422" s="30">
        <f>150000000+100000000+300000000</f>
        <v>550000000</v>
      </c>
      <c r="Q422" s="183">
        <f t="shared" si="125"/>
        <v>0.91090909090909089</v>
      </c>
      <c r="R422" s="171">
        <f>150000000+100000000+300000000</f>
        <v>550000000</v>
      </c>
    </row>
    <row r="423" spans="1:18">
      <c r="A423" s="94" t="s">
        <v>1169</v>
      </c>
      <c r="B423" s="16" t="s">
        <v>1170</v>
      </c>
      <c r="C423" s="12" t="s">
        <v>1171</v>
      </c>
      <c r="D423" s="24"/>
      <c r="E423" s="11" t="s">
        <v>1172</v>
      </c>
      <c r="F423" s="210" t="s">
        <v>475</v>
      </c>
      <c r="G423" s="212" t="s">
        <v>35</v>
      </c>
      <c r="H423" s="212" t="s">
        <v>35</v>
      </c>
      <c r="I423" s="212" t="s">
        <v>475</v>
      </c>
      <c r="J423" s="212" t="s">
        <v>476</v>
      </c>
      <c r="K423" s="212" t="s">
        <v>314</v>
      </c>
      <c r="L423" s="212" t="s">
        <v>314</v>
      </c>
      <c r="M423" s="212" t="s">
        <v>315</v>
      </c>
      <c r="N423" s="212" t="s">
        <v>448</v>
      </c>
      <c r="O423" s="214">
        <v>0</v>
      </c>
      <c r="P423" s="13">
        <f t="shared" ref="P423" si="134">+P424+P426</f>
        <v>620000000</v>
      </c>
      <c r="Q423" s="183" t="e">
        <f t="shared" si="125"/>
        <v>#VALUE!</v>
      </c>
      <c r="R423" s="349">
        <f>+R424+R426</f>
        <v>620000000</v>
      </c>
    </row>
    <row r="424" spans="1:18">
      <c r="A424" s="10" t="s">
        <v>1173</v>
      </c>
      <c r="B424" s="14" t="s">
        <v>1174</v>
      </c>
      <c r="C424" s="10" t="s">
        <v>1175</v>
      </c>
      <c r="D424" s="25"/>
      <c r="E424" s="9" t="s">
        <v>1176</v>
      </c>
      <c r="F424" s="215" t="s">
        <v>304</v>
      </c>
      <c r="G424" s="217" t="s">
        <v>48</v>
      </c>
      <c r="H424" s="217" t="s">
        <v>48</v>
      </c>
      <c r="I424" s="217" t="s">
        <v>304</v>
      </c>
      <c r="J424" s="217" t="s">
        <v>305</v>
      </c>
      <c r="K424" s="217" t="s">
        <v>112</v>
      </c>
      <c r="L424" s="217" t="s">
        <v>112</v>
      </c>
      <c r="M424" s="217" t="s">
        <v>113</v>
      </c>
      <c r="N424" s="217" t="s">
        <v>114</v>
      </c>
      <c r="O424" s="219">
        <v>0</v>
      </c>
      <c r="P424" s="8">
        <f>+P425</f>
        <v>300000000</v>
      </c>
      <c r="Q424" s="183" t="e">
        <f t="shared" si="125"/>
        <v>#VALUE!</v>
      </c>
      <c r="R424" s="347">
        <f>+R425</f>
        <v>300000000</v>
      </c>
    </row>
    <row r="425" spans="1:18">
      <c r="A425" s="10"/>
      <c r="B425" s="14"/>
      <c r="C425" s="168"/>
      <c r="D425" s="28" t="s">
        <v>1177</v>
      </c>
      <c r="E425" s="29" t="s">
        <v>1178</v>
      </c>
      <c r="F425" s="169"/>
      <c r="G425" s="169"/>
      <c r="H425" s="169"/>
      <c r="I425" s="169"/>
      <c r="J425" s="169"/>
      <c r="K425" s="169"/>
      <c r="L425" s="169"/>
      <c r="M425" s="169"/>
      <c r="N425" s="169"/>
      <c r="O425" s="170"/>
      <c r="P425" s="169">
        <v>300000000</v>
      </c>
      <c r="Q425" s="183">
        <f t="shared" ref="Q425" si="135">+(P425-I425)/P425</f>
        <v>1</v>
      </c>
      <c r="R425" s="356">
        <v>300000000</v>
      </c>
    </row>
    <row r="426" spans="1:18">
      <c r="A426" s="10" t="s">
        <v>1179</v>
      </c>
      <c r="B426" s="14" t="s">
        <v>1180</v>
      </c>
      <c r="C426" s="10" t="s">
        <v>1181</v>
      </c>
      <c r="D426" s="25"/>
      <c r="E426" s="9" t="s">
        <v>1182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158">
        <f t="shared" ref="O426" si="136">IFERROR((L426/I426),0)</f>
        <v>0</v>
      </c>
      <c r="P426" s="8">
        <f>+SUM(P427:P429)</f>
        <v>320000000</v>
      </c>
      <c r="Q426" s="183">
        <f t="shared" si="125"/>
        <v>1</v>
      </c>
      <c r="R426" s="347">
        <f>+SUM(R427:R429)</f>
        <v>320000000</v>
      </c>
    </row>
    <row r="427" spans="1:18">
      <c r="A427" s="10"/>
      <c r="B427" s="14"/>
      <c r="C427" s="168"/>
      <c r="D427" s="28"/>
      <c r="E427" s="29" t="s">
        <v>1183</v>
      </c>
      <c r="F427" s="169"/>
      <c r="G427" s="169"/>
      <c r="H427" s="169"/>
      <c r="I427" s="169"/>
      <c r="J427" s="169"/>
      <c r="K427" s="169"/>
      <c r="L427" s="169"/>
      <c r="M427" s="169"/>
      <c r="N427" s="169"/>
      <c r="O427" s="170"/>
      <c r="P427" s="169">
        <v>150000000</v>
      </c>
      <c r="Q427" s="183">
        <f t="shared" si="125"/>
        <v>1</v>
      </c>
      <c r="R427" s="356">
        <v>150000000</v>
      </c>
    </row>
    <row r="428" spans="1:18">
      <c r="A428" s="162"/>
      <c r="B428" s="163"/>
      <c r="C428" s="168"/>
      <c r="D428" s="28" t="s">
        <v>1177</v>
      </c>
      <c r="E428" s="29" t="s">
        <v>1178</v>
      </c>
      <c r="F428" s="169"/>
      <c r="G428" s="169"/>
      <c r="H428" s="169"/>
      <c r="I428" s="169"/>
      <c r="J428" s="169"/>
      <c r="K428" s="169"/>
      <c r="L428" s="169"/>
      <c r="M428" s="169"/>
      <c r="N428" s="169"/>
      <c r="O428" s="170"/>
      <c r="P428" s="169">
        <v>150000000</v>
      </c>
      <c r="Q428" s="183">
        <f t="shared" si="125"/>
        <v>1</v>
      </c>
      <c r="R428" s="356">
        <v>150000000</v>
      </c>
    </row>
    <row r="429" spans="1:18">
      <c r="A429" s="162"/>
      <c r="B429" s="163"/>
      <c r="C429" s="168"/>
      <c r="D429" s="28" t="s">
        <v>1022</v>
      </c>
      <c r="E429" s="29" t="s">
        <v>1023</v>
      </c>
      <c r="F429" s="169"/>
      <c r="G429" s="169"/>
      <c r="H429" s="169"/>
      <c r="I429" s="169"/>
      <c r="J429" s="169"/>
      <c r="K429" s="169"/>
      <c r="L429" s="169"/>
      <c r="M429" s="169"/>
      <c r="N429" s="169"/>
      <c r="O429" s="170"/>
      <c r="P429" s="169">
        <v>20000000</v>
      </c>
      <c r="Q429" s="183">
        <f t="shared" si="125"/>
        <v>1</v>
      </c>
      <c r="R429" s="356">
        <v>20000000</v>
      </c>
    </row>
    <row r="430" spans="1:18" s="175" customFormat="1">
      <c r="A430" s="86" t="s">
        <v>1184</v>
      </c>
      <c r="B430" s="87" t="s">
        <v>1185</v>
      </c>
      <c r="C430" s="35" t="s">
        <v>1186</v>
      </c>
      <c r="D430" s="88"/>
      <c r="E430" s="35" t="s">
        <v>1187</v>
      </c>
      <c r="F430" s="257">
        <v>111578513000</v>
      </c>
      <c r="G430" s="258">
        <v>18098914566</v>
      </c>
      <c r="H430" s="258">
        <v>23060081742</v>
      </c>
      <c r="I430" s="258">
        <v>134638594742</v>
      </c>
      <c r="J430" s="258">
        <v>107876242971</v>
      </c>
      <c r="K430" s="258">
        <v>4999675687</v>
      </c>
      <c r="L430" s="258">
        <v>101860825778</v>
      </c>
      <c r="M430" s="258">
        <v>9528566308</v>
      </c>
      <c r="N430" s="258">
        <v>68684853092</v>
      </c>
      <c r="O430" s="259">
        <v>0.75649999999999995</v>
      </c>
      <c r="P430" s="36">
        <f>+P431+P436+P492+P529+P792+P840</f>
        <v>151064499352.35001</v>
      </c>
      <c r="Q430" s="183">
        <f t="shared" si="125"/>
        <v>0.10873437955821405</v>
      </c>
      <c r="R430" s="353">
        <f>+R431+R436+R492+R529+R792+R840</f>
        <v>151064499352.35001</v>
      </c>
    </row>
    <row r="431" spans="1:18" s="175" customFormat="1">
      <c r="A431" s="89" t="s">
        <v>1188</v>
      </c>
      <c r="B431" s="90" t="s">
        <v>1189</v>
      </c>
      <c r="C431" s="91" t="s">
        <v>1190</v>
      </c>
      <c r="D431" s="92"/>
      <c r="E431" s="37" t="s">
        <v>1191</v>
      </c>
      <c r="F431" s="253">
        <v>83250000</v>
      </c>
      <c r="G431" s="242" t="s">
        <v>35</v>
      </c>
      <c r="H431" s="243">
        <v>-83250000</v>
      </c>
      <c r="I431" s="242" t="s">
        <v>475</v>
      </c>
      <c r="J431" s="242" t="s">
        <v>476</v>
      </c>
      <c r="K431" s="242" t="s">
        <v>314</v>
      </c>
      <c r="L431" s="242" t="s">
        <v>314</v>
      </c>
      <c r="M431" s="242" t="s">
        <v>315</v>
      </c>
      <c r="N431" s="242" t="s">
        <v>448</v>
      </c>
      <c r="O431" s="244">
        <v>0</v>
      </c>
      <c r="P431" s="93">
        <f t="shared" ref="P431:P434" si="137">+P432</f>
        <v>120000000</v>
      </c>
      <c r="Q431" s="183" t="e">
        <f t="shared" si="125"/>
        <v>#VALUE!</v>
      </c>
      <c r="R431" s="354">
        <f>+R432</f>
        <v>120000000</v>
      </c>
    </row>
    <row r="432" spans="1:18">
      <c r="A432" s="94" t="s">
        <v>1192</v>
      </c>
      <c r="B432" s="16" t="s">
        <v>1193</v>
      </c>
      <c r="C432" s="12" t="s">
        <v>1194</v>
      </c>
      <c r="D432" s="24"/>
      <c r="E432" s="11" t="s">
        <v>1195</v>
      </c>
      <c r="F432" s="211">
        <v>83250000</v>
      </c>
      <c r="G432" s="212" t="s">
        <v>35</v>
      </c>
      <c r="H432" s="213">
        <v>-83250000</v>
      </c>
      <c r="I432" s="212" t="s">
        <v>475</v>
      </c>
      <c r="J432" s="212" t="s">
        <v>476</v>
      </c>
      <c r="K432" s="212" t="s">
        <v>314</v>
      </c>
      <c r="L432" s="212" t="s">
        <v>314</v>
      </c>
      <c r="M432" s="212" t="s">
        <v>315</v>
      </c>
      <c r="N432" s="212" t="s">
        <v>448</v>
      </c>
      <c r="O432" s="214">
        <v>0</v>
      </c>
      <c r="P432" s="13">
        <f t="shared" si="137"/>
        <v>120000000</v>
      </c>
      <c r="Q432" s="183" t="e">
        <f t="shared" si="125"/>
        <v>#VALUE!</v>
      </c>
      <c r="R432" s="349">
        <f>+R433</f>
        <v>120000000</v>
      </c>
    </row>
    <row r="433" spans="1:18">
      <c r="A433" s="72" t="s">
        <v>1196</v>
      </c>
      <c r="B433" s="73" t="s">
        <v>989</v>
      </c>
      <c r="C433" s="74" t="s">
        <v>1197</v>
      </c>
      <c r="D433" s="75"/>
      <c r="E433" s="20" t="s">
        <v>1198</v>
      </c>
      <c r="F433" s="206">
        <v>83250000</v>
      </c>
      <c r="G433" s="207" t="s">
        <v>35</v>
      </c>
      <c r="H433" s="208">
        <v>-83250000</v>
      </c>
      <c r="I433" s="207" t="s">
        <v>475</v>
      </c>
      <c r="J433" s="207" t="s">
        <v>476</v>
      </c>
      <c r="K433" s="207" t="s">
        <v>314</v>
      </c>
      <c r="L433" s="207" t="s">
        <v>314</v>
      </c>
      <c r="M433" s="207" t="s">
        <v>315</v>
      </c>
      <c r="N433" s="207" t="s">
        <v>448</v>
      </c>
      <c r="O433" s="209">
        <v>0</v>
      </c>
      <c r="P433" s="76">
        <f t="shared" si="137"/>
        <v>120000000</v>
      </c>
      <c r="Q433" s="183" t="e">
        <f t="shared" si="125"/>
        <v>#VALUE!</v>
      </c>
      <c r="R433" s="345">
        <f>+R434</f>
        <v>120000000</v>
      </c>
    </row>
    <row r="434" spans="1:18" s="177" customFormat="1">
      <c r="A434" s="10" t="s">
        <v>1199</v>
      </c>
      <c r="B434" s="14" t="s">
        <v>1200</v>
      </c>
      <c r="C434" s="10" t="s">
        <v>1201</v>
      </c>
      <c r="D434" s="25"/>
      <c r="E434" s="9" t="s">
        <v>1202</v>
      </c>
      <c r="F434" s="216">
        <v>83250000</v>
      </c>
      <c r="G434" s="217" t="s">
        <v>48</v>
      </c>
      <c r="H434" s="218">
        <v>-83250000</v>
      </c>
      <c r="I434" s="217" t="s">
        <v>304</v>
      </c>
      <c r="J434" s="217" t="s">
        <v>305</v>
      </c>
      <c r="K434" s="217" t="s">
        <v>112</v>
      </c>
      <c r="L434" s="217" t="s">
        <v>112</v>
      </c>
      <c r="M434" s="217" t="s">
        <v>113</v>
      </c>
      <c r="N434" s="217" t="s">
        <v>114</v>
      </c>
      <c r="O434" s="219">
        <v>0</v>
      </c>
      <c r="P434" s="8">
        <f t="shared" si="137"/>
        <v>120000000</v>
      </c>
      <c r="Q434" s="183" t="e">
        <f t="shared" si="125"/>
        <v>#VALUE!</v>
      </c>
      <c r="R434" s="347">
        <f>+R435</f>
        <v>120000000</v>
      </c>
    </row>
    <row r="435" spans="1:18" s="177" customFormat="1">
      <c r="A435" s="79"/>
      <c r="B435" s="80"/>
      <c r="C435" s="79" t="s">
        <v>1201</v>
      </c>
      <c r="D435" s="28" t="s">
        <v>1101</v>
      </c>
      <c r="E435" s="29" t="s">
        <v>1102</v>
      </c>
      <c r="F435" s="227">
        <v>83250000</v>
      </c>
      <c r="G435" s="225" t="s">
        <v>48</v>
      </c>
      <c r="H435" s="228">
        <v>-83250000</v>
      </c>
      <c r="I435" s="225" t="s">
        <v>304</v>
      </c>
      <c r="J435" s="225" t="s">
        <v>305</v>
      </c>
      <c r="K435" s="225" t="s">
        <v>112</v>
      </c>
      <c r="L435" s="225" t="s">
        <v>112</v>
      </c>
      <c r="M435" s="225" t="s">
        <v>113</v>
      </c>
      <c r="N435" s="225" t="s">
        <v>114</v>
      </c>
      <c r="O435" s="226">
        <v>0</v>
      </c>
      <c r="P435" s="30">
        <v>120000000</v>
      </c>
      <c r="Q435" s="183" t="e">
        <f t="shared" si="125"/>
        <v>#VALUE!</v>
      </c>
      <c r="R435" s="171">
        <v>120000000</v>
      </c>
    </row>
    <row r="436" spans="1:18" s="175" customFormat="1">
      <c r="A436" s="89" t="s">
        <v>1203</v>
      </c>
      <c r="B436" s="90" t="s">
        <v>1204</v>
      </c>
      <c r="C436" s="91" t="s">
        <v>1205</v>
      </c>
      <c r="D436" s="92"/>
      <c r="E436" s="37" t="s">
        <v>1206</v>
      </c>
      <c r="F436" s="253">
        <v>9321454000</v>
      </c>
      <c r="G436" s="243">
        <v>246020190</v>
      </c>
      <c r="H436" s="243">
        <v>1121057439</v>
      </c>
      <c r="I436" s="243">
        <v>10442511439</v>
      </c>
      <c r="J436" s="243">
        <v>7291342422</v>
      </c>
      <c r="K436" s="243">
        <v>822188169</v>
      </c>
      <c r="L436" s="243">
        <v>7241250571</v>
      </c>
      <c r="M436" s="243">
        <v>88141317</v>
      </c>
      <c r="N436" s="243">
        <v>2687203496</v>
      </c>
      <c r="O436" s="244">
        <v>0.69340000000000002</v>
      </c>
      <c r="P436" s="93">
        <f>+P437+P457+P485+P488</f>
        <v>11747194807</v>
      </c>
      <c r="Q436" s="183">
        <f t="shared" si="125"/>
        <v>0.1110633976396268</v>
      </c>
      <c r="R436" s="354">
        <f>+R437+R457+R485+R488</f>
        <v>11747194807</v>
      </c>
    </row>
    <row r="437" spans="1:18">
      <c r="A437" s="94" t="s">
        <v>1207</v>
      </c>
      <c r="B437" s="16" t="s">
        <v>1208</v>
      </c>
      <c r="C437" s="12" t="s">
        <v>1209</v>
      </c>
      <c r="D437" s="24"/>
      <c r="E437" s="11" t="s">
        <v>1210</v>
      </c>
      <c r="F437" s="211">
        <v>5306724000</v>
      </c>
      <c r="G437" s="213">
        <v>145020190</v>
      </c>
      <c r="H437" s="213">
        <v>771475086</v>
      </c>
      <c r="I437" s="213">
        <v>6078199086</v>
      </c>
      <c r="J437" s="213">
        <v>5746518680</v>
      </c>
      <c r="K437" s="213">
        <v>18124776</v>
      </c>
      <c r="L437" s="213">
        <v>5741815016</v>
      </c>
      <c r="M437" s="213">
        <v>21425808</v>
      </c>
      <c r="N437" s="213">
        <v>2231270885</v>
      </c>
      <c r="O437" s="214">
        <v>0.94469999999999998</v>
      </c>
      <c r="P437" s="13">
        <f t="shared" ref="P437" si="138">+P438+P454</f>
        <v>6427962500</v>
      </c>
      <c r="Q437" s="183">
        <f t="shared" si="125"/>
        <v>5.4412796278758627E-2</v>
      </c>
      <c r="R437" s="349">
        <f>+R438+R454</f>
        <v>6427962500</v>
      </c>
    </row>
    <row r="438" spans="1:18">
      <c r="A438" s="72" t="s">
        <v>1211</v>
      </c>
      <c r="B438" s="73" t="s">
        <v>989</v>
      </c>
      <c r="C438" s="74" t="s">
        <v>1212</v>
      </c>
      <c r="D438" s="75"/>
      <c r="E438" s="20" t="s">
        <v>1213</v>
      </c>
      <c r="F438" s="206">
        <v>785046000</v>
      </c>
      <c r="G438" s="208">
        <v>101000000</v>
      </c>
      <c r="H438" s="208">
        <v>146403760</v>
      </c>
      <c r="I438" s="208">
        <v>931449760</v>
      </c>
      <c r="J438" s="208">
        <v>683526680</v>
      </c>
      <c r="K438" s="208">
        <v>18124776</v>
      </c>
      <c r="L438" s="208">
        <v>678823016</v>
      </c>
      <c r="M438" s="208">
        <v>21425808</v>
      </c>
      <c r="N438" s="208">
        <v>119720885</v>
      </c>
      <c r="O438" s="209">
        <v>0.7288</v>
      </c>
      <c r="P438" s="76">
        <f t="shared" ref="P438" si="139">+P439</f>
        <v>1702808990</v>
      </c>
      <c r="Q438" s="183">
        <f t="shared" si="125"/>
        <v>0.45299222316180043</v>
      </c>
      <c r="R438" s="345">
        <f>+R439</f>
        <v>1702808990</v>
      </c>
    </row>
    <row r="439" spans="1:18" s="175" customFormat="1">
      <c r="A439" s="10"/>
      <c r="B439" s="14" t="s">
        <v>1214</v>
      </c>
      <c r="C439" s="10" t="s">
        <v>1215</v>
      </c>
      <c r="D439" s="25"/>
      <c r="E439" s="9" t="s">
        <v>1210</v>
      </c>
      <c r="F439" s="216">
        <v>785046000</v>
      </c>
      <c r="G439" s="218">
        <v>101000000</v>
      </c>
      <c r="H439" s="218">
        <v>146403760</v>
      </c>
      <c r="I439" s="218">
        <v>931449760</v>
      </c>
      <c r="J439" s="218">
        <v>683526680</v>
      </c>
      <c r="K439" s="218">
        <v>18124776</v>
      </c>
      <c r="L439" s="218">
        <v>678823016</v>
      </c>
      <c r="M439" s="218">
        <v>21425808</v>
      </c>
      <c r="N439" s="218">
        <v>119720885</v>
      </c>
      <c r="O439" s="219">
        <v>0.7288</v>
      </c>
      <c r="P439" s="8">
        <f>SUM(P440:P453)</f>
        <v>1702808990</v>
      </c>
      <c r="Q439" s="183">
        <f t="shared" si="125"/>
        <v>0.45299222316180043</v>
      </c>
      <c r="R439" s="347">
        <f>SUM(R440:R453)</f>
        <v>1702808990</v>
      </c>
    </row>
    <row r="440" spans="1:18" s="177" customFormat="1">
      <c r="A440" s="79"/>
      <c r="B440" s="80"/>
      <c r="C440" s="79" t="s">
        <v>1215</v>
      </c>
      <c r="D440" s="28" t="s">
        <v>393</v>
      </c>
      <c r="E440" s="29" t="s">
        <v>1216</v>
      </c>
      <c r="F440" s="227">
        <v>56174000</v>
      </c>
      <c r="G440" s="225" t="s">
        <v>48</v>
      </c>
      <c r="H440" s="225" t="s">
        <v>48</v>
      </c>
      <c r="I440" s="228">
        <v>56174000</v>
      </c>
      <c r="J440" s="228">
        <v>28558548</v>
      </c>
      <c r="K440" s="225" t="s">
        <v>112</v>
      </c>
      <c r="L440" s="228">
        <v>28558548</v>
      </c>
      <c r="M440" s="225" t="s">
        <v>113</v>
      </c>
      <c r="N440" s="228">
        <v>19628892</v>
      </c>
      <c r="O440" s="226">
        <v>0.50839999999999996</v>
      </c>
      <c r="P440" s="30">
        <v>74391065</v>
      </c>
      <c r="Q440" s="183">
        <f t="shared" si="125"/>
        <v>0.24488243312553731</v>
      </c>
      <c r="R440" s="171">
        <v>74391065</v>
      </c>
    </row>
    <row r="441" spans="1:18" s="177" customFormat="1">
      <c r="A441" s="79"/>
      <c r="B441" s="80"/>
      <c r="C441" s="79" t="s">
        <v>1215</v>
      </c>
      <c r="D441" s="28" t="s">
        <v>397</v>
      </c>
      <c r="E441" s="29" t="s">
        <v>1217</v>
      </c>
      <c r="F441" s="227">
        <v>148904000</v>
      </c>
      <c r="G441" s="225" t="s">
        <v>48</v>
      </c>
      <c r="H441" s="225" t="s">
        <v>48</v>
      </c>
      <c r="I441" s="228">
        <v>148904000</v>
      </c>
      <c r="J441" s="228">
        <v>148904000</v>
      </c>
      <c r="K441" s="225" t="s">
        <v>112</v>
      </c>
      <c r="L441" s="228">
        <v>144200736</v>
      </c>
      <c r="M441" s="225" t="s">
        <v>113</v>
      </c>
      <c r="N441" s="225" t="s">
        <v>114</v>
      </c>
      <c r="O441" s="226">
        <v>0.96840000000000004</v>
      </c>
      <c r="P441" s="30">
        <v>539013716</v>
      </c>
      <c r="Q441" s="183">
        <f t="shared" si="125"/>
        <v>0.72374728957732126</v>
      </c>
      <c r="R441" s="171">
        <v>539013716</v>
      </c>
    </row>
    <row r="442" spans="1:18" s="177" customFormat="1">
      <c r="A442" s="79"/>
      <c r="B442" s="80"/>
      <c r="C442" s="79" t="s">
        <v>1215</v>
      </c>
      <c r="D442" s="28" t="s">
        <v>401</v>
      </c>
      <c r="E442" s="29" t="s">
        <v>1218</v>
      </c>
      <c r="F442" s="227">
        <v>76126000</v>
      </c>
      <c r="G442" s="225" t="s">
        <v>48</v>
      </c>
      <c r="H442" s="225" t="s">
        <v>48</v>
      </c>
      <c r="I442" s="228">
        <v>76126000</v>
      </c>
      <c r="J442" s="228">
        <v>73308952</v>
      </c>
      <c r="K442" s="225" t="s">
        <v>112</v>
      </c>
      <c r="L442" s="228">
        <v>73308952</v>
      </c>
      <c r="M442" s="228">
        <v>16247308</v>
      </c>
      <c r="N442" s="228">
        <v>24486868</v>
      </c>
      <c r="O442" s="226">
        <v>0.96299999999999997</v>
      </c>
      <c r="P442" s="30">
        <v>131000000</v>
      </c>
      <c r="Q442" s="183">
        <f t="shared" si="125"/>
        <v>0.41888549618320609</v>
      </c>
      <c r="R442" s="171">
        <v>131000000</v>
      </c>
    </row>
    <row r="443" spans="1:18" s="177" customFormat="1">
      <c r="A443" s="79"/>
      <c r="B443" s="80"/>
      <c r="C443" s="79" t="s">
        <v>1215</v>
      </c>
      <c r="D443" s="28" t="s">
        <v>405</v>
      </c>
      <c r="E443" s="29" t="s">
        <v>1219</v>
      </c>
      <c r="F443" s="227">
        <v>25856000</v>
      </c>
      <c r="G443" s="225" t="s">
        <v>48</v>
      </c>
      <c r="H443" s="228">
        <v>11460000</v>
      </c>
      <c r="I443" s="228">
        <v>37316000</v>
      </c>
      <c r="J443" s="228">
        <v>37316000</v>
      </c>
      <c r="K443" s="225" t="s">
        <v>112</v>
      </c>
      <c r="L443" s="228">
        <v>37315600</v>
      </c>
      <c r="M443" s="225" t="s">
        <v>113</v>
      </c>
      <c r="N443" s="228">
        <v>11284651</v>
      </c>
      <c r="O443" s="226">
        <v>1</v>
      </c>
      <c r="P443" s="30">
        <v>45000000</v>
      </c>
      <c r="Q443" s="183">
        <f t="shared" si="125"/>
        <v>0.17075555555555555</v>
      </c>
      <c r="R443" s="171">
        <v>45000000</v>
      </c>
    </row>
    <row r="444" spans="1:18" s="177" customFormat="1">
      <c r="A444" s="79"/>
      <c r="B444" s="80"/>
      <c r="C444" s="79" t="s">
        <v>1215</v>
      </c>
      <c r="D444" s="28" t="s">
        <v>409</v>
      </c>
      <c r="E444" s="29" t="s">
        <v>1220</v>
      </c>
      <c r="F444" s="227">
        <v>27490000</v>
      </c>
      <c r="G444" s="225" t="s">
        <v>48</v>
      </c>
      <c r="H444" s="225" t="s">
        <v>48</v>
      </c>
      <c r="I444" s="228">
        <v>27490000</v>
      </c>
      <c r="J444" s="228">
        <v>27490000</v>
      </c>
      <c r="K444" s="225" t="s">
        <v>112</v>
      </c>
      <c r="L444" s="228">
        <v>27490000</v>
      </c>
      <c r="M444" s="228">
        <v>5178500</v>
      </c>
      <c r="N444" s="228">
        <v>8369000</v>
      </c>
      <c r="O444" s="226">
        <v>1</v>
      </c>
      <c r="P444" s="30">
        <v>28700000</v>
      </c>
      <c r="Q444" s="183">
        <f t="shared" si="125"/>
        <v>4.2160278745644597E-2</v>
      </c>
      <c r="R444" s="171">
        <v>28700000</v>
      </c>
    </row>
    <row r="445" spans="1:18" s="177" customFormat="1">
      <c r="A445" s="79"/>
      <c r="B445" s="80"/>
      <c r="C445" s="79" t="s">
        <v>1215</v>
      </c>
      <c r="D445" s="28" t="s">
        <v>419</v>
      </c>
      <c r="E445" s="29" t="s">
        <v>1221</v>
      </c>
      <c r="F445" s="227">
        <v>51137000</v>
      </c>
      <c r="G445" s="225" t="s">
        <v>48</v>
      </c>
      <c r="H445" s="225" t="s">
        <v>48</v>
      </c>
      <c r="I445" s="228">
        <v>51137000</v>
      </c>
      <c r="J445" s="228">
        <v>51130000</v>
      </c>
      <c r="K445" s="225" t="s">
        <v>112</v>
      </c>
      <c r="L445" s="228">
        <v>51130000</v>
      </c>
      <c r="M445" s="225" t="s">
        <v>113</v>
      </c>
      <c r="N445" s="228">
        <v>6217274</v>
      </c>
      <c r="O445" s="226">
        <v>0.99990000000000001</v>
      </c>
      <c r="P445" s="30">
        <v>68901200</v>
      </c>
      <c r="Q445" s="183">
        <f t="shared" si="125"/>
        <v>0.2578213441855875</v>
      </c>
      <c r="R445" s="171">
        <v>68901200</v>
      </c>
    </row>
    <row r="446" spans="1:18" s="177" customFormat="1">
      <c r="A446" s="79"/>
      <c r="B446" s="80"/>
      <c r="C446" s="79" t="s">
        <v>1215</v>
      </c>
      <c r="D446" s="28" t="s">
        <v>423</v>
      </c>
      <c r="E446" s="29" t="s">
        <v>1135</v>
      </c>
      <c r="F446" s="227">
        <v>2115000</v>
      </c>
      <c r="G446" s="225" t="s">
        <v>48</v>
      </c>
      <c r="H446" s="228">
        <v>-2115000</v>
      </c>
      <c r="I446" s="225" t="s">
        <v>304</v>
      </c>
      <c r="J446" s="225" t="s">
        <v>305</v>
      </c>
      <c r="K446" s="225" t="s">
        <v>112</v>
      </c>
      <c r="L446" s="225" t="s">
        <v>112</v>
      </c>
      <c r="M446" s="225" t="s">
        <v>113</v>
      </c>
      <c r="N446" s="225" t="s">
        <v>114</v>
      </c>
      <c r="O446" s="226">
        <v>0</v>
      </c>
      <c r="P446" s="30">
        <v>15000000</v>
      </c>
      <c r="Q446" s="183" t="e">
        <f t="shared" si="125"/>
        <v>#VALUE!</v>
      </c>
      <c r="R446" s="171">
        <v>15000000</v>
      </c>
    </row>
    <row r="447" spans="1:18" s="177" customFormat="1">
      <c r="A447" s="79"/>
      <c r="B447" s="80"/>
      <c r="C447" s="79" t="s">
        <v>1215</v>
      </c>
      <c r="D447" s="28" t="s">
        <v>1022</v>
      </c>
      <c r="E447" s="29" t="s">
        <v>1023</v>
      </c>
      <c r="F447" s="227">
        <v>80835000</v>
      </c>
      <c r="G447" s="225" t="s">
        <v>48</v>
      </c>
      <c r="H447" s="228">
        <v>27895842</v>
      </c>
      <c r="I447" s="228">
        <v>108730842</v>
      </c>
      <c r="J447" s="228">
        <v>57561684</v>
      </c>
      <c r="K447" s="225" t="s">
        <v>112</v>
      </c>
      <c r="L447" s="228">
        <v>57561684</v>
      </c>
      <c r="M447" s="225" t="s">
        <v>113</v>
      </c>
      <c r="N447" s="225" t="s">
        <v>114</v>
      </c>
      <c r="O447" s="226">
        <v>0.52939999999999998</v>
      </c>
      <c r="P447" s="30">
        <f>120000000+25000000</f>
        <v>145000000</v>
      </c>
      <c r="Q447" s="183">
        <f t="shared" si="125"/>
        <v>0.25013212413793101</v>
      </c>
      <c r="R447" s="171">
        <f>120000000+25000000</f>
        <v>145000000</v>
      </c>
    </row>
    <row r="448" spans="1:18" s="177" customFormat="1">
      <c r="A448" s="79"/>
      <c r="B448" s="80"/>
      <c r="C448" s="79" t="s">
        <v>1215</v>
      </c>
      <c r="D448" s="28" t="s">
        <v>1222</v>
      </c>
      <c r="E448" s="29" t="s">
        <v>1223</v>
      </c>
      <c r="F448" s="227">
        <v>141849000</v>
      </c>
      <c r="G448" s="228">
        <v>101000000</v>
      </c>
      <c r="H448" s="228">
        <v>85219158</v>
      </c>
      <c r="I448" s="228">
        <v>227068158</v>
      </c>
      <c r="J448" s="228">
        <v>71714200</v>
      </c>
      <c r="K448" s="225" t="s">
        <v>112</v>
      </c>
      <c r="L448" s="228">
        <v>71714200</v>
      </c>
      <c r="M448" s="225" t="s">
        <v>113</v>
      </c>
      <c r="N448" s="228">
        <v>49734200</v>
      </c>
      <c r="O448" s="226">
        <v>0.31580000000000003</v>
      </c>
      <c r="P448" s="30">
        <v>148260574</v>
      </c>
      <c r="Q448" s="183">
        <f t="shared" si="125"/>
        <v>-0.53154781391848649</v>
      </c>
      <c r="R448" s="171">
        <v>148260574</v>
      </c>
    </row>
    <row r="449" spans="1:18" s="177" customFormat="1">
      <c r="A449" s="79"/>
      <c r="B449" s="80"/>
      <c r="C449" s="79" t="s">
        <v>1215</v>
      </c>
      <c r="D449" s="28" t="s">
        <v>1224</v>
      </c>
      <c r="E449" s="29" t="s">
        <v>1225</v>
      </c>
      <c r="F449" s="227">
        <v>2194000</v>
      </c>
      <c r="G449" s="225" t="s">
        <v>48</v>
      </c>
      <c r="H449" s="225" t="s">
        <v>48</v>
      </c>
      <c r="I449" s="228">
        <v>2194000</v>
      </c>
      <c r="J449" s="228">
        <v>2194000</v>
      </c>
      <c r="K449" s="225" t="s">
        <v>112</v>
      </c>
      <c r="L449" s="228">
        <v>2194000</v>
      </c>
      <c r="M449" s="225" t="s">
        <v>113</v>
      </c>
      <c r="N449" s="225" t="s">
        <v>114</v>
      </c>
      <c r="O449" s="226">
        <v>1</v>
      </c>
      <c r="P449" s="30">
        <v>10000000</v>
      </c>
      <c r="Q449" s="183">
        <f t="shared" si="125"/>
        <v>0.78059999999999996</v>
      </c>
      <c r="R449" s="171">
        <v>10000000</v>
      </c>
    </row>
    <row r="450" spans="1:18" s="177" customFormat="1">
      <c r="A450" s="79"/>
      <c r="B450" s="80"/>
      <c r="C450" s="79" t="s">
        <v>1215</v>
      </c>
      <c r="D450" s="28" t="s">
        <v>1003</v>
      </c>
      <c r="E450" s="29" t="s">
        <v>1004</v>
      </c>
      <c r="F450" s="227">
        <v>127972000</v>
      </c>
      <c r="G450" s="225" t="s">
        <v>48</v>
      </c>
      <c r="H450" s="225" t="s">
        <v>48</v>
      </c>
      <c r="I450" s="228">
        <v>127972000</v>
      </c>
      <c r="J450" s="228">
        <v>127575000</v>
      </c>
      <c r="K450" s="225" t="s">
        <v>112</v>
      </c>
      <c r="L450" s="228">
        <v>127575000</v>
      </c>
      <c r="M450" s="225" t="s">
        <v>113</v>
      </c>
      <c r="N450" s="225" t="s">
        <v>114</v>
      </c>
      <c r="O450" s="226">
        <v>0.99690000000000001</v>
      </c>
      <c r="P450" s="30">
        <v>136311067</v>
      </c>
      <c r="Q450" s="183">
        <f t="shared" si="125"/>
        <v>6.1176742164302772E-2</v>
      </c>
      <c r="R450" s="171">
        <v>136311067</v>
      </c>
    </row>
    <row r="451" spans="1:18" s="177" customFormat="1">
      <c r="A451" s="79"/>
      <c r="B451" s="80"/>
      <c r="C451" s="79" t="s">
        <v>1215</v>
      </c>
      <c r="D451" s="28" t="s">
        <v>1001</v>
      </c>
      <c r="E451" s="29" t="s">
        <v>1002</v>
      </c>
      <c r="F451" s="227">
        <v>33834000</v>
      </c>
      <c r="G451" s="225" t="s">
        <v>48</v>
      </c>
      <c r="H451" s="228">
        <v>23943760</v>
      </c>
      <c r="I451" s="228">
        <v>57777760</v>
      </c>
      <c r="J451" s="228">
        <v>57774296</v>
      </c>
      <c r="K451" s="228">
        <v>18124776</v>
      </c>
      <c r="L451" s="228">
        <v>57774296</v>
      </c>
      <c r="M451" s="225" t="s">
        <v>113</v>
      </c>
      <c r="N451" s="225" t="s">
        <v>114</v>
      </c>
      <c r="O451" s="226">
        <v>0.99990000000000001</v>
      </c>
      <c r="P451" s="30">
        <f>17925000+20400000+30000000+36000000+36000000+8320000+100000000</f>
        <v>248645000</v>
      </c>
      <c r="Q451" s="183">
        <f t="shared" si="125"/>
        <v>0.76762951195479501</v>
      </c>
      <c r="R451" s="171">
        <f>17925000+20400000+30000000+36000000+36000000+8320000+100000000</f>
        <v>248645000</v>
      </c>
    </row>
    <row r="452" spans="1:18" s="177" customFormat="1">
      <c r="A452" s="79"/>
      <c r="B452" s="80"/>
      <c r="C452" s="79" t="s">
        <v>1215</v>
      </c>
      <c r="D452" s="28" t="s">
        <v>1226</v>
      </c>
      <c r="E452" s="29" t="s">
        <v>1183</v>
      </c>
      <c r="F452" s="227">
        <v>10560000</v>
      </c>
      <c r="G452" s="225" t="s">
        <v>48</v>
      </c>
      <c r="H452" s="225" t="s">
        <v>48</v>
      </c>
      <c r="I452" s="228">
        <v>10560000</v>
      </c>
      <c r="J452" s="225" t="s">
        <v>305</v>
      </c>
      <c r="K452" s="225" t="s">
        <v>112</v>
      </c>
      <c r="L452" s="225" t="s">
        <v>112</v>
      </c>
      <c r="M452" s="225" t="s">
        <v>113</v>
      </c>
      <c r="N452" s="225" t="s">
        <v>114</v>
      </c>
      <c r="O452" s="226">
        <v>0</v>
      </c>
      <c r="P452" s="30">
        <v>61038368</v>
      </c>
      <c r="Q452" s="183">
        <f t="shared" si="125"/>
        <v>0.8269940637993467</v>
      </c>
      <c r="R452" s="171">
        <v>61038368</v>
      </c>
    </row>
    <row r="453" spans="1:18" s="177" customFormat="1">
      <c r="A453" s="79"/>
      <c r="B453" s="80"/>
      <c r="C453" s="79"/>
      <c r="D453" s="28" t="s">
        <v>1046</v>
      </c>
      <c r="E453" s="29" t="s">
        <v>1047</v>
      </c>
      <c r="F453" s="30"/>
      <c r="G453" s="30"/>
      <c r="H453" s="30"/>
      <c r="I453" s="30"/>
      <c r="J453" s="30"/>
      <c r="K453" s="30"/>
      <c r="L453" s="30"/>
      <c r="M453" s="30"/>
      <c r="N453" s="30"/>
      <c r="O453" s="159"/>
      <c r="P453" s="30">
        <v>51548000</v>
      </c>
      <c r="Q453" s="183">
        <f t="shared" si="125"/>
        <v>1</v>
      </c>
      <c r="R453" s="171">
        <v>51548000</v>
      </c>
    </row>
    <row r="454" spans="1:18">
      <c r="A454" s="72" t="s">
        <v>1227</v>
      </c>
      <c r="B454" s="73" t="s">
        <v>989</v>
      </c>
      <c r="C454" s="74" t="s">
        <v>1228</v>
      </c>
      <c r="D454" s="75"/>
      <c r="E454" s="20" t="s">
        <v>1229</v>
      </c>
      <c r="F454" s="260">
        <v>4521678000</v>
      </c>
      <c r="G454" s="262">
        <v>44020190</v>
      </c>
      <c r="H454" s="262">
        <v>625071326</v>
      </c>
      <c r="I454" s="262">
        <v>5146749326</v>
      </c>
      <c r="J454" s="262">
        <v>5062992000</v>
      </c>
      <c r="K454" s="261" t="s">
        <v>314</v>
      </c>
      <c r="L454" s="262">
        <v>5062992000</v>
      </c>
      <c r="M454" s="261" t="s">
        <v>315</v>
      </c>
      <c r="N454" s="262">
        <v>2111550000</v>
      </c>
      <c r="O454" s="263">
        <v>0.98370000000000002</v>
      </c>
      <c r="P454" s="76">
        <f t="shared" ref="P454:P455" si="140">+P455</f>
        <v>4725153510</v>
      </c>
      <c r="Q454" s="183">
        <f t="shared" si="125"/>
        <v>-8.9223728945051775E-2</v>
      </c>
      <c r="R454" s="345">
        <f>+R455</f>
        <v>4725153510</v>
      </c>
    </row>
    <row r="455" spans="1:18" s="176" customFormat="1">
      <c r="A455" s="10"/>
      <c r="B455" s="14" t="s">
        <v>1230</v>
      </c>
      <c r="C455" s="10" t="s">
        <v>1231</v>
      </c>
      <c r="D455" s="25"/>
      <c r="E455" s="9" t="s">
        <v>1232</v>
      </c>
      <c r="F455" s="216">
        <v>4521678000</v>
      </c>
      <c r="G455" s="218">
        <v>44020190</v>
      </c>
      <c r="H455" s="218">
        <v>625071326</v>
      </c>
      <c r="I455" s="218">
        <v>5146749326</v>
      </c>
      <c r="J455" s="218">
        <v>5062992000</v>
      </c>
      <c r="K455" s="217" t="s">
        <v>112</v>
      </c>
      <c r="L455" s="218">
        <v>5062992000</v>
      </c>
      <c r="M455" s="217" t="s">
        <v>113</v>
      </c>
      <c r="N455" s="218">
        <v>2111550000</v>
      </c>
      <c r="O455" s="219">
        <v>0.98370000000000002</v>
      </c>
      <c r="P455" s="8">
        <f t="shared" si="140"/>
        <v>4725153510</v>
      </c>
      <c r="Q455" s="183">
        <f t="shared" si="125"/>
        <v>-8.9223728945051775E-2</v>
      </c>
      <c r="R455" s="347">
        <f>+R456</f>
        <v>4725153510</v>
      </c>
    </row>
    <row r="456" spans="1:18" s="177" customFormat="1">
      <c r="A456" s="79"/>
      <c r="B456" s="80"/>
      <c r="C456" s="79" t="s">
        <v>1231</v>
      </c>
      <c r="D456" s="28" t="s">
        <v>1022</v>
      </c>
      <c r="E456" s="29" t="s">
        <v>1023</v>
      </c>
      <c r="F456" s="227">
        <v>4521678000</v>
      </c>
      <c r="G456" s="228">
        <v>44020190</v>
      </c>
      <c r="H456" s="228">
        <v>625071326</v>
      </c>
      <c r="I456" s="228">
        <v>5146749326</v>
      </c>
      <c r="J456" s="228">
        <v>5062992000</v>
      </c>
      <c r="K456" s="225" t="s">
        <v>112</v>
      </c>
      <c r="L456" s="228">
        <v>5062992000</v>
      </c>
      <c r="M456" s="225" t="s">
        <v>113</v>
      </c>
      <c r="N456" s="228">
        <v>2111550000</v>
      </c>
      <c r="O456" s="226">
        <v>0.98370000000000002</v>
      </c>
      <c r="P456" s="30">
        <f>3780122808+945030702</f>
        <v>4725153510</v>
      </c>
      <c r="Q456" s="183">
        <f t="shared" si="125"/>
        <v>-8.9223728945051775E-2</v>
      </c>
      <c r="R456" s="171">
        <f>3780122808+945030702</f>
        <v>4725153510</v>
      </c>
    </row>
    <row r="457" spans="1:18">
      <c r="A457" s="94" t="s">
        <v>1233</v>
      </c>
      <c r="B457" s="16" t="s">
        <v>1234</v>
      </c>
      <c r="C457" s="12" t="s">
        <v>1235</v>
      </c>
      <c r="D457" s="24"/>
      <c r="E457" s="11" t="s">
        <v>1236</v>
      </c>
      <c r="F457" s="211">
        <v>4014730000</v>
      </c>
      <c r="G457" s="213">
        <v>101000000</v>
      </c>
      <c r="H457" s="213">
        <v>349582353</v>
      </c>
      <c r="I457" s="213">
        <v>4364312353</v>
      </c>
      <c r="J457" s="213">
        <v>1544823742</v>
      </c>
      <c r="K457" s="213">
        <v>804063393</v>
      </c>
      <c r="L457" s="213">
        <v>1499435555</v>
      </c>
      <c r="M457" s="213">
        <v>66715509</v>
      </c>
      <c r="N457" s="213">
        <v>455932611</v>
      </c>
      <c r="O457" s="212">
        <v>2</v>
      </c>
      <c r="P457" s="13">
        <f>P458+P459+P469</f>
        <v>5194658813</v>
      </c>
      <c r="Q457" s="183">
        <f t="shared" si="125"/>
        <v>0.1598461977756844</v>
      </c>
      <c r="R457" s="349">
        <f>R458+R459+R469</f>
        <v>5194658813</v>
      </c>
    </row>
    <row r="458" spans="1:18" s="175" customFormat="1">
      <c r="A458" s="10" t="s">
        <v>1237</v>
      </c>
      <c r="B458" s="14" t="s">
        <v>989</v>
      </c>
      <c r="C458" s="10" t="s">
        <v>1238</v>
      </c>
      <c r="D458" s="25"/>
      <c r="E458" s="9" t="s">
        <v>1239</v>
      </c>
      <c r="F458" s="215" t="s">
        <v>304</v>
      </c>
      <c r="G458" s="217" t="s">
        <v>48</v>
      </c>
      <c r="H458" s="217" t="s">
        <v>48</v>
      </c>
      <c r="I458" s="217" t="s">
        <v>304</v>
      </c>
      <c r="J458" s="217" t="s">
        <v>305</v>
      </c>
      <c r="K458" s="217" t="s">
        <v>112</v>
      </c>
      <c r="L458" s="217" t="s">
        <v>112</v>
      </c>
      <c r="M458" s="217" t="s">
        <v>113</v>
      </c>
      <c r="N458" s="217" t="s">
        <v>114</v>
      </c>
      <c r="O458" s="219">
        <v>0</v>
      </c>
      <c r="P458" s="8"/>
      <c r="Q458" s="183" t="e">
        <f t="shared" si="125"/>
        <v>#VALUE!</v>
      </c>
      <c r="R458" s="347"/>
    </row>
    <row r="459" spans="1:18" s="175" customFormat="1">
      <c r="A459" s="10" t="s">
        <v>1240</v>
      </c>
      <c r="B459" s="14" t="s">
        <v>1241</v>
      </c>
      <c r="C459" s="10" t="s">
        <v>1242</v>
      </c>
      <c r="D459" s="25"/>
      <c r="E459" s="9" t="s">
        <v>1243</v>
      </c>
      <c r="F459" s="216">
        <v>2852406000</v>
      </c>
      <c r="G459" s="217" t="s">
        <v>48</v>
      </c>
      <c r="H459" s="218">
        <v>228582353</v>
      </c>
      <c r="I459" s="218">
        <v>3080988353</v>
      </c>
      <c r="J459" s="218">
        <v>1062814557</v>
      </c>
      <c r="K459" s="218">
        <v>750282788</v>
      </c>
      <c r="L459" s="218">
        <v>1036814557</v>
      </c>
      <c r="M459" s="218">
        <v>12502122</v>
      </c>
      <c r="N459" s="218">
        <v>44432768</v>
      </c>
      <c r="O459" s="219">
        <v>0.33650000000000002</v>
      </c>
      <c r="P459" s="8">
        <f t="shared" ref="P459" si="141">SUM(P460:P468)</f>
        <v>3735088960</v>
      </c>
      <c r="Q459" s="183">
        <f t="shared" si="125"/>
        <v>0.17512316681206971</v>
      </c>
      <c r="R459" s="347">
        <f>SUM(R460:R468)</f>
        <v>3735088960</v>
      </c>
    </row>
    <row r="460" spans="1:18" s="177" customFormat="1">
      <c r="A460" s="79"/>
      <c r="B460" s="80"/>
      <c r="C460" s="79" t="s">
        <v>1242</v>
      </c>
      <c r="D460" s="28" t="s">
        <v>393</v>
      </c>
      <c r="E460" s="29" t="s">
        <v>1216</v>
      </c>
      <c r="F460" s="227">
        <v>629815000</v>
      </c>
      <c r="G460" s="225" t="s">
        <v>48</v>
      </c>
      <c r="H460" s="228">
        <v>63819910</v>
      </c>
      <c r="I460" s="228">
        <v>693634910</v>
      </c>
      <c r="J460" s="228">
        <v>103360208</v>
      </c>
      <c r="K460" s="225" t="s">
        <v>112</v>
      </c>
      <c r="L460" s="228">
        <v>103360208</v>
      </c>
      <c r="M460" s="225" t="s">
        <v>113</v>
      </c>
      <c r="N460" s="228">
        <v>17135742</v>
      </c>
      <c r="O460" s="226">
        <v>0.14899999999999999</v>
      </c>
      <c r="P460" s="30">
        <v>693634910</v>
      </c>
      <c r="Q460" s="183">
        <f t="shared" si="125"/>
        <v>0</v>
      </c>
      <c r="R460" s="171">
        <v>693634910</v>
      </c>
    </row>
    <row r="461" spans="1:18" s="177" customFormat="1">
      <c r="A461" s="79"/>
      <c r="B461" s="80"/>
      <c r="C461" s="79" t="s">
        <v>1242</v>
      </c>
      <c r="D461" s="28" t="s">
        <v>397</v>
      </c>
      <c r="E461" s="29" t="s">
        <v>1217</v>
      </c>
      <c r="F461" s="227">
        <v>455770000</v>
      </c>
      <c r="G461" s="225" t="s">
        <v>48</v>
      </c>
      <c r="H461" s="225" t="s">
        <v>48</v>
      </c>
      <c r="I461" s="228">
        <v>455770000</v>
      </c>
      <c r="J461" s="228">
        <v>211055928</v>
      </c>
      <c r="K461" s="228">
        <v>211055928</v>
      </c>
      <c r="L461" s="228">
        <v>211055928</v>
      </c>
      <c r="M461" s="228">
        <v>1918893</v>
      </c>
      <c r="N461" s="228">
        <v>1918893</v>
      </c>
      <c r="O461" s="226">
        <v>0.46310000000000001</v>
      </c>
      <c r="P461" s="30">
        <v>770162179</v>
      </c>
      <c r="Q461" s="183">
        <f t="shared" si="125"/>
        <v>0.40821555196103704</v>
      </c>
      <c r="R461" s="171">
        <v>770162179</v>
      </c>
    </row>
    <row r="462" spans="1:18" s="177" customFormat="1">
      <c r="A462" s="79"/>
      <c r="B462" s="80"/>
      <c r="C462" s="79" t="s">
        <v>1242</v>
      </c>
      <c r="D462" s="28" t="s">
        <v>401</v>
      </c>
      <c r="E462" s="29" t="s">
        <v>1218</v>
      </c>
      <c r="F462" s="227">
        <v>1015926000</v>
      </c>
      <c r="G462" s="225" t="s">
        <v>48</v>
      </c>
      <c r="H462" s="225" t="s">
        <v>48</v>
      </c>
      <c r="I462" s="228">
        <v>1015926000</v>
      </c>
      <c r="J462" s="228">
        <v>562753075</v>
      </c>
      <c r="K462" s="228">
        <v>403259594</v>
      </c>
      <c r="L462" s="228">
        <v>536753075</v>
      </c>
      <c r="M462" s="228">
        <v>5648200</v>
      </c>
      <c r="N462" s="228">
        <v>19991437</v>
      </c>
      <c r="O462" s="226">
        <v>0.52829999999999999</v>
      </c>
      <c r="P462" s="30">
        <v>1361691784</v>
      </c>
      <c r="Q462" s="183">
        <f t="shared" si="125"/>
        <v>0.25392367646098685</v>
      </c>
      <c r="R462" s="171">
        <v>1361691784</v>
      </c>
    </row>
    <row r="463" spans="1:18" s="177" customFormat="1">
      <c r="A463" s="79"/>
      <c r="B463" s="80"/>
      <c r="C463" s="79" t="s">
        <v>1242</v>
      </c>
      <c r="D463" s="28" t="s">
        <v>405</v>
      </c>
      <c r="E463" s="29" t="s">
        <v>1219</v>
      </c>
      <c r="F463" s="227">
        <v>125000000</v>
      </c>
      <c r="G463" s="225" t="s">
        <v>48</v>
      </c>
      <c r="H463" s="228">
        <v>74945443</v>
      </c>
      <c r="I463" s="228">
        <v>199945443</v>
      </c>
      <c r="J463" s="228">
        <v>86048825</v>
      </c>
      <c r="K463" s="228">
        <v>86048825</v>
      </c>
      <c r="L463" s="228">
        <v>86048825</v>
      </c>
      <c r="M463" s="228">
        <v>782345</v>
      </c>
      <c r="N463" s="228">
        <v>782345</v>
      </c>
      <c r="O463" s="226">
        <v>0.4304</v>
      </c>
      <c r="P463" s="30">
        <v>160000000</v>
      </c>
      <c r="Q463" s="183">
        <f t="shared" si="125"/>
        <v>-0.24965901874999999</v>
      </c>
      <c r="R463" s="171">
        <v>160000000</v>
      </c>
    </row>
    <row r="464" spans="1:18" s="177" customFormat="1">
      <c r="A464" s="79"/>
      <c r="B464" s="80"/>
      <c r="C464" s="79" t="s">
        <v>1242</v>
      </c>
      <c r="D464" s="28" t="s">
        <v>409</v>
      </c>
      <c r="E464" s="29" t="s">
        <v>1220</v>
      </c>
      <c r="F464" s="227">
        <v>127333000</v>
      </c>
      <c r="G464" s="225" t="s">
        <v>48</v>
      </c>
      <c r="H464" s="225" t="s">
        <v>48</v>
      </c>
      <c r="I464" s="228">
        <v>127333000</v>
      </c>
      <c r="J464" s="228">
        <v>69602059</v>
      </c>
      <c r="K464" s="228">
        <v>49918441</v>
      </c>
      <c r="L464" s="228">
        <v>69602059</v>
      </c>
      <c r="M464" s="228">
        <v>453852</v>
      </c>
      <c r="N464" s="228">
        <v>632813</v>
      </c>
      <c r="O464" s="226">
        <v>0.54659999999999997</v>
      </c>
      <c r="P464" s="30">
        <v>115000000</v>
      </c>
      <c r="Q464" s="183">
        <f t="shared" si="125"/>
        <v>-0.10724347826086957</v>
      </c>
      <c r="R464" s="171">
        <v>115000000</v>
      </c>
    </row>
    <row r="465" spans="1:18" s="177" customFormat="1">
      <c r="A465" s="79"/>
      <c r="B465" s="80"/>
      <c r="C465" s="79" t="s">
        <v>1242</v>
      </c>
      <c r="D465" s="28" t="s">
        <v>419</v>
      </c>
      <c r="E465" s="29" t="s">
        <v>1221</v>
      </c>
      <c r="F465" s="227">
        <v>443562000</v>
      </c>
      <c r="G465" s="225" t="s">
        <v>48</v>
      </c>
      <c r="H465" s="228">
        <v>-101000000</v>
      </c>
      <c r="I465" s="228">
        <v>342562000</v>
      </c>
      <c r="J465" s="225" t="s">
        <v>305</v>
      </c>
      <c r="K465" s="225" t="s">
        <v>112</v>
      </c>
      <c r="L465" s="225" t="s">
        <v>112</v>
      </c>
      <c r="M465" s="225" t="s">
        <v>113</v>
      </c>
      <c r="N465" s="225" t="s">
        <v>114</v>
      </c>
      <c r="O465" s="226">
        <v>0</v>
      </c>
      <c r="P465" s="30">
        <v>384600087</v>
      </c>
      <c r="Q465" s="183">
        <f t="shared" si="125"/>
        <v>0.10930337361052131</v>
      </c>
      <c r="R465" s="171">
        <v>384600087</v>
      </c>
    </row>
    <row r="466" spans="1:18" s="177" customFormat="1">
      <c r="A466" s="79"/>
      <c r="B466" s="80"/>
      <c r="C466" s="79" t="s">
        <v>1242</v>
      </c>
      <c r="D466" s="28" t="s">
        <v>423</v>
      </c>
      <c r="E466" s="29" t="s">
        <v>1135</v>
      </c>
      <c r="F466" s="227">
        <v>25000000</v>
      </c>
      <c r="G466" s="225" t="s">
        <v>48</v>
      </c>
      <c r="H466" s="225" t="s">
        <v>48</v>
      </c>
      <c r="I466" s="228">
        <v>25000000</v>
      </c>
      <c r="J466" s="225" t="s">
        <v>305</v>
      </c>
      <c r="K466" s="225" t="s">
        <v>112</v>
      </c>
      <c r="L466" s="225" t="s">
        <v>112</v>
      </c>
      <c r="M466" s="225" t="s">
        <v>113</v>
      </c>
      <c r="N466" s="225" t="s">
        <v>114</v>
      </c>
      <c r="O466" s="226">
        <v>0</v>
      </c>
      <c r="P466" s="30">
        <v>200000000</v>
      </c>
      <c r="Q466" s="183">
        <f t="shared" si="125"/>
        <v>0.875</v>
      </c>
      <c r="R466" s="171">
        <v>200000000</v>
      </c>
    </row>
    <row r="467" spans="1:18" s="177" customFormat="1">
      <c r="A467" s="79"/>
      <c r="B467" s="80"/>
      <c r="C467" s="79" t="s">
        <v>1242</v>
      </c>
      <c r="D467" s="28" t="s">
        <v>1022</v>
      </c>
      <c r="E467" s="29" t="s">
        <v>1023</v>
      </c>
      <c r="F467" s="227">
        <v>30000000</v>
      </c>
      <c r="G467" s="225" t="s">
        <v>48</v>
      </c>
      <c r="H467" s="225" t="s">
        <v>48</v>
      </c>
      <c r="I467" s="228">
        <v>30000000</v>
      </c>
      <c r="J467" s="228">
        <v>29994462</v>
      </c>
      <c r="K467" s="225" t="s">
        <v>112</v>
      </c>
      <c r="L467" s="228">
        <v>29994462</v>
      </c>
      <c r="M467" s="228">
        <v>3698832</v>
      </c>
      <c r="N467" s="228">
        <v>3971538</v>
      </c>
      <c r="O467" s="226">
        <v>0.99980000000000002</v>
      </c>
      <c r="P467" s="30">
        <v>50000000</v>
      </c>
      <c r="Q467" s="183">
        <f t="shared" si="125"/>
        <v>0.4</v>
      </c>
      <c r="R467" s="171">
        <v>50000000</v>
      </c>
    </row>
    <row r="468" spans="1:18" s="177" customFormat="1">
      <c r="A468" s="79"/>
      <c r="B468" s="80"/>
      <c r="C468" s="79" t="s">
        <v>1242</v>
      </c>
      <c r="D468" s="28" t="s">
        <v>1226</v>
      </c>
      <c r="E468" s="29" t="s">
        <v>1183</v>
      </c>
      <c r="F468" s="224" t="s">
        <v>304</v>
      </c>
      <c r="G468" s="225" t="s">
        <v>48</v>
      </c>
      <c r="H468" s="228">
        <v>190817000</v>
      </c>
      <c r="I468" s="228">
        <v>190817000</v>
      </c>
      <c r="J468" s="225" t="s">
        <v>305</v>
      </c>
      <c r="K468" s="225" t="s">
        <v>112</v>
      </c>
      <c r="L468" s="225" t="s">
        <v>112</v>
      </c>
      <c r="M468" s="225" t="s">
        <v>113</v>
      </c>
      <c r="N468" s="225" t="s">
        <v>114</v>
      </c>
      <c r="O468" s="226">
        <v>0</v>
      </c>
      <c r="P468" s="30"/>
      <c r="Q468" s="183" t="e">
        <f t="shared" si="125"/>
        <v>#DIV/0!</v>
      </c>
      <c r="R468" s="171"/>
    </row>
    <row r="469" spans="1:18" s="175" customFormat="1">
      <c r="A469" s="10" t="s">
        <v>1244</v>
      </c>
      <c r="B469" s="14" t="s">
        <v>1245</v>
      </c>
      <c r="C469" s="10" t="s">
        <v>1246</v>
      </c>
      <c r="D469" s="25"/>
      <c r="E469" s="9" t="s">
        <v>1247</v>
      </c>
      <c r="F469" s="216">
        <v>1100953000</v>
      </c>
      <c r="G469" s="218">
        <v>101000000</v>
      </c>
      <c r="H469" s="218">
        <v>121000000</v>
      </c>
      <c r="I469" s="218">
        <v>1221953000</v>
      </c>
      <c r="J469" s="218">
        <v>424540344</v>
      </c>
      <c r="K469" s="218">
        <v>53780605</v>
      </c>
      <c r="L469" s="218">
        <v>405152157</v>
      </c>
      <c r="M469" s="218">
        <v>49011535</v>
      </c>
      <c r="N469" s="218">
        <v>398583087</v>
      </c>
      <c r="O469" s="219">
        <v>0.33160000000000001</v>
      </c>
      <c r="P469" s="8">
        <f>SUM(P470:P484)</f>
        <v>1459569853</v>
      </c>
      <c r="Q469" s="183">
        <f t="shared" si="125"/>
        <v>0.16279923328890517</v>
      </c>
      <c r="R469" s="347">
        <f>SUM(R470:R484)</f>
        <v>1459569853</v>
      </c>
    </row>
    <row r="470" spans="1:18" s="177" customFormat="1">
      <c r="A470" s="79"/>
      <c r="B470" s="80"/>
      <c r="C470" s="79" t="s">
        <v>1246</v>
      </c>
      <c r="D470" s="28" t="s">
        <v>393</v>
      </c>
      <c r="E470" s="29" t="s">
        <v>1216</v>
      </c>
      <c r="F470" s="227">
        <v>158595000</v>
      </c>
      <c r="G470" s="225" t="s">
        <v>48</v>
      </c>
      <c r="H470" s="225" t="s">
        <v>48</v>
      </c>
      <c r="I470" s="228">
        <v>158595000</v>
      </c>
      <c r="J470" s="228">
        <v>49188528</v>
      </c>
      <c r="K470" s="228">
        <v>3096588</v>
      </c>
      <c r="L470" s="228">
        <v>49188528</v>
      </c>
      <c r="M470" s="228">
        <v>1776228</v>
      </c>
      <c r="N470" s="228">
        <v>47868168</v>
      </c>
      <c r="O470" s="226">
        <v>0.31019999999999998</v>
      </c>
      <c r="P470" s="30">
        <v>165763494</v>
      </c>
      <c r="Q470" s="183">
        <f t="shared" ref="Q470:Q535" si="142">+(P470-I470)/P470</f>
        <v>4.3245311902028322E-2</v>
      </c>
      <c r="R470" s="171">
        <v>165763494</v>
      </c>
    </row>
    <row r="471" spans="1:18" s="177" customFormat="1">
      <c r="A471" s="79"/>
      <c r="B471" s="80"/>
      <c r="C471" s="79" t="s">
        <v>1246</v>
      </c>
      <c r="D471" s="28" t="s">
        <v>397</v>
      </c>
      <c r="E471" s="29" t="s">
        <v>1217</v>
      </c>
      <c r="F471" s="227">
        <v>169175000</v>
      </c>
      <c r="G471" s="225" t="s">
        <v>48</v>
      </c>
      <c r="H471" s="225" t="s">
        <v>48</v>
      </c>
      <c r="I471" s="228">
        <v>169175000</v>
      </c>
      <c r="J471" s="228">
        <v>49195472</v>
      </c>
      <c r="K471" s="228">
        <v>22737232</v>
      </c>
      <c r="L471" s="228">
        <v>49195472</v>
      </c>
      <c r="M471" s="228">
        <v>22737232</v>
      </c>
      <c r="N471" s="228">
        <v>49195472</v>
      </c>
      <c r="O471" s="226">
        <v>0.2908</v>
      </c>
      <c r="P471" s="30">
        <v>419777392</v>
      </c>
      <c r="Q471" s="183">
        <f t="shared" si="142"/>
        <v>0.59698877732796052</v>
      </c>
      <c r="R471" s="171">
        <v>419777392</v>
      </c>
    </row>
    <row r="472" spans="1:18" s="177" customFormat="1">
      <c r="A472" s="79"/>
      <c r="B472" s="80"/>
      <c r="C472" s="79" t="s">
        <v>1246</v>
      </c>
      <c r="D472" s="28" t="s">
        <v>401</v>
      </c>
      <c r="E472" s="29" t="s">
        <v>1218</v>
      </c>
      <c r="F472" s="227">
        <v>71770000</v>
      </c>
      <c r="G472" s="225" t="s">
        <v>48</v>
      </c>
      <c r="H472" s="225" t="s">
        <v>48</v>
      </c>
      <c r="I472" s="228">
        <v>71770000</v>
      </c>
      <c r="J472" s="228">
        <v>32300237</v>
      </c>
      <c r="K472" s="228">
        <v>9114027</v>
      </c>
      <c r="L472" s="228">
        <v>22344600</v>
      </c>
      <c r="M472" s="228">
        <v>9114027</v>
      </c>
      <c r="N472" s="228">
        <v>22344600</v>
      </c>
      <c r="O472" s="226">
        <v>0.31130000000000002</v>
      </c>
      <c r="P472" s="30">
        <v>136000000</v>
      </c>
      <c r="Q472" s="183">
        <f t="shared" si="142"/>
        <v>0.47227941176470589</v>
      </c>
      <c r="R472" s="171">
        <v>136000000</v>
      </c>
    </row>
    <row r="473" spans="1:18" s="177" customFormat="1">
      <c r="A473" s="79"/>
      <c r="B473" s="80"/>
      <c r="C473" s="79" t="s">
        <v>1246</v>
      </c>
      <c r="D473" s="28" t="s">
        <v>405</v>
      </c>
      <c r="E473" s="29" t="s">
        <v>1219</v>
      </c>
      <c r="F473" s="227">
        <v>62127000</v>
      </c>
      <c r="G473" s="225" t="s">
        <v>48</v>
      </c>
      <c r="H473" s="228">
        <v>-20000000</v>
      </c>
      <c r="I473" s="228">
        <v>42127000</v>
      </c>
      <c r="J473" s="228">
        <v>14778959</v>
      </c>
      <c r="K473" s="228">
        <v>8168350</v>
      </c>
      <c r="L473" s="228">
        <v>14778959</v>
      </c>
      <c r="M473" s="228">
        <v>9968350</v>
      </c>
      <c r="N473" s="228">
        <v>14778959</v>
      </c>
      <c r="O473" s="226">
        <v>0.3508</v>
      </c>
      <c r="P473" s="30">
        <v>66475890</v>
      </c>
      <c r="Q473" s="183">
        <f t="shared" si="142"/>
        <v>0.36628151951030669</v>
      </c>
      <c r="R473" s="171">
        <v>66475890</v>
      </c>
    </row>
    <row r="474" spans="1:18" s="177" customFormat="1">
      <c r="A474" s="79"/>
      <c r="B474" s="80"/>
      <c r="C474" s="79" t="s">
        <v>1246</v>
      </c>
      <c r="D474" s="28" t="s">
        <v>409</v>
      </c>
      <c r="E474" s="29" t="s">
        <v>1220</v>
      </c>
      <c r="F474" s="227">
        <v>60000000</v>
      </c>
      <c r="G474" s="225" t="s">
        <v>48</v>
      </c>
      <c r="H474" s="225" t="s">
        <v>48</v>
      </c>
      <c r="I474" s="228">
        <v>60000000</v>
      </c>
      <c r="J474" s="228">
        <v>11573118</v>
      </c>
      <c r="K474" s="228">
        <v>3820000</v>
      </c>
      <c r="L474" s="228">
        <v>11573118</v>
      </c>
      <c r="M474" s="228">
        <v>3820000</v>
      </c>
      <c r="N474" s="228">
        <v>11573118</v>
      </c>
      <c r="O474" s="226">
        <v>0.19289999999999999</v>
      </c>
      <c r="P474" s="30">
        <v>60000000</v>
      </c>
      <c r="Q474" s="183">
        <f t="shared" si="142"/>
        <v>0</v>
      </c>
      <c r="R474" s="171">
        <v>60000000</v>
      </c>
    </row>
    <row r="475" spans="1:18" s="177" customFormat="1">
      <c r="A475" s="79"/>
      <c r="B475" s="80"/>
      <c r="C475" s="79" t="s">
        <v>1246</v>
      </c>
      <c r="D475" s="28" t="s">
        <v>419</v>
      </c>
      <c r="E475" s="29" t="s">
        <v>1221</v>
      </c>
      <c r="F475" s="227">
        <v>46191000</v>
      </c>
      <c r="G475" s="225" t="s">
        <v>48</v>
      </c>
      <c r="H475" s="228">
        <v>40000000</v>
      </c>
      <c r="I475" s="228">
        <v>86191000</v>
      </c>
      <c r="J475" s="228">
        <v>13873790</v>
      </c>
      <c r="K475" s="228">
        <v>2015190</v>
      </c>
      <c r="L475" s="228">
        <v>12873790</v>
      </c>
      <c r="M475" s="225" t="s">
        <v>113</v>
      </c>
      <c r="N475" s="228">
        <v>10858600</v>
      </c>
      <c r="O475" s="226">
        <v>0.14940000000000001</v>
      </c>
      <c r="P475" s="30">
        <v>99243800</v>
      </c>
      <c r="Q475" s="183">
        <f t="shared" si="142"/>
        <v>0.13152257370233708</v>
      </c>
      <c r="R475" s="171">
        <v>99243800</v>
      </c>
    </row>
    <row r="476" spans="1:18" s="177" customFormat="1">
      <c r="A476" s="79"/>
      <c r="B476" s="80"/>
      <c r="C476" s="79" t="s">
        <v>1246</v>
      </c>
      <c r="D476" s="28" t="s">
        <v>423</v>
      </c>
      <c r="E476" s="29" t="s">
        <v>1135</v>
      </c>
      <c r="F476" s="227">
        <v>4229000</v>
      </c>
      <c r="G476" s="225" t="s">
        <v>48</v>
      </c>
      <c r="H476" s="225" t="s">
        <v>48</v>
      </c>
      <c r="I476" s="228">
        <v>4229000</v>
      </c>
      <c r="J476" s="228">
        <v>1733520</v>
      </c>
      <c r="K476" s="228">
        <v>1733520</v>
      </c>
      <c r="L476" s="228">
        <v>1733520</v>
      </c>
      <c r="M476" s="225" t="s">
        <v>113</v>
      </c>
      <c r="N476" s="225" t="s">
        <v>114</v>
      </c>
      <c r="O476" s="226">
        <v>0.40989999999999999</v>
      </c>
      <c r="P476" s="30">
        <v>4420150</v>
      </c>
      <c r="Q476" s="183">
        <f t="shared" si="142"/>
        <v>4.3245138739635536E-2</v>
      </c>
      <c r="R476" s="171">
        <v>4420150</v>
      </c>
    </row>
    <row r="477" spans="1:18" s="177" customFormat="1">
      <c r="A477" s="79"/>
      <c r="B477" s="80"/>
      <c r="C477" s="79" t="s">
        <v>1246</v>
      </c>
      <c r="D477" s="28" t="s">
        <v>1022</v>
      </c>
      <c r="E477" s="29" t="s">
        <v>1023</v>
      </c>
      <c r="F477" s="227">
        <v>138574000</v>
      </c>
      <c r="G477" s="225" t="s">
        <v>48</v>
      </c>
      <c r="H477" s="225" t="s">
        <v>48</v>
      </c>
      <c r="I477" s="228">
        <v>138574000</v>
      </c>
      <c r="J477" s="228">
        <v>23200000</v>
      </c>
      <c r="K477" s="228">
        <v>1200000</v>
      </c>
      <c r="L477" s="228">
        <v>23200000</v>
      </c>
      <c r="M477" s="228">
        <v>1200000</v>
      </c>
      <c r="N477" s="228">
        <v>23200000</v>
      </c>
      <c r="O477" s="226">
        <v>0.16739999999999999</v>
      </c>
      <c r="P477" s="30">
        <v>145000000</v>
      </c>
      <c r="Q477" s="183">
        <f t="shared" si="142"/>
        <v>4.4317241379310347E-2</v>
      </c>
      <c r="R477" s="171">
        <v>145000000</v>
      </c>
    </row>
    <row r="478" spans="1:18" s="177" customFormat="1">
      <c r="A478" s="79"/>
      <c r="B478" s="80"/>
      <c r="C478" s="79" t="s">
        <v>1246</v>
      </c>
      <c r="D478" s="28" t="s">
        <v>1222</v>
      </c>
      <c r="E478" s="29" t="s">
        <v>1223</v>
      </c>
      <c r="F478" s="227">
        <v>203107000</v>
      </c>
      <c r="G478" s="228">
        <v>101000000</v>
      </c>
      <c r="H478" s="228">
        <v>101000000</v>
      </c>
      <c r="I478" s="228">
        <v>304107000</v>
      </c>
      <c r="J478" s="228">
        <v>200287630</v>
      </c>
      <c r="K478" s="228">
        <v>-8004200</v>
      </c>
      <c r="L478" s="228">
        <v>192287630</v>
      </c>
      <c r="M478" s="228">
        <v>-8004200</v>
      </c>
      <c r="N478" s="228">
        <v>192287630</v>
      </c>
      <c r="O478" s="226">
        <v>0.63229999999999997</v>
      </c>
      <c r="P478" s="30">
        <v>212287436</v>
      </c>
      <c r="Q478" s="183">
        <f t="shared" si="142"/>
        <v>-0.43252472086949129</v>
      </c>
      <c r="R478" s="171">
        <v>212287436</v>
      </c>
    </row>
    <row r="479" spans="1:18" s="177" customFormat="1">
      <c r="A479" s="79"/>
      <c r="B479" s="80"/>
      <c r="C479" s="79" t="s">
        <v>1246</v>
      </c>
      <c r="D479" s="28" t="s">
        <v>1224</v>
      </c>
      <c r="E479" s="29" t="s">
        <v>1225</v>
      </c>
      <c r="F479" s="227">
        <v>10971000</v>
      </c>
      <c r="G479" s="225" t="s">
        <v>48</v>
      </c>
      <c r="H479" s="225" t="s">
        <v>48</v>
      </c>
      <c r="I479" s="228">
        <v>10971000</v>
      </c>
      <c r="J479" s="228">
        <v>432550</v>
      </c>
      <c r="K479" s="225" t="s">
        <v>112</v>
      </c>
      <c r="L479" s="225" t="s">
        <v>112</v>
      </c>
      <c r="M479" s="225" t="s">
        <v>113</v>
      </c>
      <c r="N479" s="225" t="s">
        <v>114</v>
      </c>
      <c r="O479" s="226">
        <v>0</v>
      </c>
      <c r="P479" s="30">
        <v>12000000</v>
      </c>
      <c r="Q479" s="183">
        <f t="shared" si="142"/>
        <v>8.5750000000000007E-2</v>
      </c>
      <c r="R479" s="171">
        <v>12000000</v>
      </c>
    </row>
    <row r="480" spans="1:18" s="177" customFormat="1">
      <c r="A480" s="79"/>
      <c r="B480" s="80"/>
      <c r="C480" s="79" t="s">
        <v>1246</v>
      </c>
      <c r="D480" s="28" t="s">
        <v>1248</v>
      </c>
      <c r="E480" s="29" t="s">
        <v>1249</v>
      </c>
      <c r="F480" s="227">
        <v>4619000</v>
      </c>
      <c r="G480" s="225" t="s">
        <v>48</v>
      </c>
      <c r="H480" s="225" t="s">
        <v>48</v>
      </c>
      <c r="I480" s="228">
        <v>4619000</v>
      </c>
      <c r="J480" s="225" t="s">
        <v>305</v>
      </c>
      <c r="K480" s="225" t="s">
        <v>112</v>
      </c>
      <c r="L480" s="225" t="s">
        <v>112</v>
      </c>
      <c r="M480" s="225" t="s">
        <v>113</v>
      </c>
      <c r="N480" s="225" t="s">
        <v>114</v>
      </c>
      <c r="O480" s="226">
        <v>0</v>
      </c>
      <c r="P480" s="30">
        <v>10000000</v>
      </c>
      <c r="Q480" s="183">
        <f t="shared" si="142"/>
        <v>0.53810000000000002</v>
      </c>
      <c r="R480" s="171">
        <v>10000000</v>
      </c>
    </row>
    <row r="481" spans="1:18" s="177" customFormat="1">
      <c r="A481" s="79"/>
      <c r="B481" s="80"/>
      <c r="C481" s="79" t="s">
        <v>1246</v>
      </c>
      <c r="D481" s="28" t="s">
        <v>1001</v>
      </c>
      <c r="E481" s="29" t="s">
        <v>1002</v>
      </c>
      <c r="F481" s="227">
        <v>43000000</v>
      </c>
      <c r="G481" s="225" t="s">
        <v>48</v>
      </c>
      <c r="H481" s="225" t="s">
        <v>48</v>
      </c>
      <c r="I481" s="228">
        <v>43000000</v>
      </c>
      <c r="J481" s="228">
        <v>14958062</v>
      </c>
      <c r="K481" s="228">
        <v>3000000</v>
      </c>
      <c r="L481" s="228">
        <v>14958062</v>
      </c>
      <c r="M481" s="228">
        <v>1500000</v>
      </c>
      <c r="N481" s="228">
        <v>13458062</v>
      </c>
      <c r="O481" s="226">
        <v>0.34789999999999999</v>
      </c>
      <c r="P481" s="30">
        <f>50000000+10000000+21000000</f>
        <v>81000000</v>
      </c>
      <c r="Q481" s="183">
        <f t="shared" si="142"/>
        <v>0.46913580246913578</v>
      </c>
      <c r="R481" s="171">
        <f>50000000+10000000+21000000</f>
        <v>81000000</v>
      </c>
    </row>
    <row r="482" spans="1:18" s="177" customFormat="1">
      <c r="A482" s="79"/>
      <c r="B482" s="80"/>
      <c r="C482" s="79" t="s">
        <v>1246</v>
      </c>
      <c r="D482" s="28" t="s">
        <v>1250</v>
      </c>
      <c r="E482" s="29" t="s">
        <v>1251</v>
      </c>
      <c r="F482" s="227">
        <v>105730000</v>
      </c>
      <c r="G482" s="225" t="s">
        <v>48</v>
      </c>
      <c r="H482" s="225" t="s">
        <v>48</v>
      </c>
      <c r="I482" s="228">
        <v>105730000</v>
      </c>
      <c r="J482" s="228">
        <v>6961500</v>
      </c>
      <c r="K482" s="228">
        <v>5146440</v>
      </c>
      <c r="L482" s="228">
        <v>6961500</v>
      </c>
      <c r="M482" s="228">
        <v>5146440</v>
      </c>
      <c r="N482" s="228">
        <v>6961500</v>
      </c>
      <c r="O482" s="226">
        <v>6.5799999999999997E-2</v>
      </c>
      <c r="P482" s="30"/>
      <c r="Q482" s="183" t="e">
        <f t="shared" si="142"/>
        <v>#DIV/0!</v>
      </c>
      <c r="R482" s="171"/>
    </row>
    <row r="483" spans="1:18" s="177" customFormat="1">
      <c r="A483" s="79"/>
      <c r="B483" s="80"/>
      <c r="C483" s="79" t="s">
        <v>1246</v>
      </c>
      <c r="D483" s="28" t="s">
        <v>1226</v>
      </c>
      <c r="E483" s="29" t="s">
        <v>1183</v>
      </c>
      <c r="F483" s="264">
        <v>22865000</v>
      </c>
      <c r="G483" s="265" t="s">
        <v>48</v>
      </c>
      <c r="H483" s="265" t="s">
        <v>48</v>
      </c>
      <c r="I483" s="266">
        <v>22865000</v>
      </c>
      <c r="J483" s="266">
        <v>6056978</v>
      </c>
      <c r="K483" s="266">
        <v>1753458</v>
      </c>
      <c r="L483" s="266">
        <v>6056978</v>
      </c>
      <c r="M483" s="266">
        <v>1753458</v>
      </c>
      <c r="N483" s="266">
        <v>6056978</v>
      </c>
      <c r="O483" s="267">
        <v>0.26490000000000002</v>
      </c>
      <c r="P483" s="30">
        <v>24127046</v>
      </c>
      <c r="Q483" s="183">
        <f t="shared" si="142"/>
        <v>5.2308351382925201E-2</v>
      </c>
      <c r="R483" s="171">
        <v>24127046</v>
      </c>
    </row>
    <row r="484" spans="1:18" s="177" customFormat="1">
      <c r="A484" s="79"/>
      <c r="B484" s="80"/>
      <c r="C484" s="79"/>
      <c r="D484" s="28" t="s">
        <v>1003</v>
      </c>
      <c r="E484" s="29" t="s">
        <v>1004</v>
      </c>
      <c r="F484" s="30"/>
      <c r="G484" s="30"/>
      <c r="H484" s="30"/>
      <c r="I484" s="30"/>
      <c r="J484" s="30"/>
      <c r="K484" s="30"/>
      <c r="L484" s="30"/>
      <c r="M484" s="30"/>
      <c r="N484" s="30"/>
      <c r="O484" s="159"/>
      <c r="P484" s="30">
        <v>23474645</v>
      </c>
      <c r="Q484" s="183">
        <f t="shared" si="142"/>
        <v>1</v>
      </c>
      <c r="R484" s="171">
        <v>23474645</v>
      </c>
    </row>
    <row r="485" spans="1:18">
      <c r="A485" s="94" t="s">
        <v>1252</v>
      </c>
      <c r="B485" s="16" t="s">
        <v>1253</v>
      </c>
      <c r="C485" s="12" t="s">
        <v>1254</v>
      </c>
      <c r="D485" s="24"/>
      <c r="E485" s="11" t="s">
        <v>1255</v>
      </c>
      <c r="F485" s="13">
        <f>+F486</f>
        <v>0</v>
      </c>
      <c r="G485" s="13">
        <f t="shared" ref="G485:P485" si="143">+G486</f>
        <v>0</v>
      </c>
      <c r="H485" s="13">
        <f t="shared" si="143"/>
        <v>0</v>
      </c>
      <c r="I485" s="13">
        <f t="shared" si="143"/>
        <v>0</v>
      </c>
      <c r="J485" s="13">
        <f t="shared" si="143"/>
        <v>0</v>
      </c>
      <c r="K485" s="13">
        <f t="shared" si="143"/>
        <v>0</v>
      </c>
      <c r="L485" s="13">
        <f t="shared" si="143"/>
        <v>0</v>
      </c>
      <c r="M485" s="13">
        <f t="shared" si="143"/>
        <v>0</v>
      </c>
      <c r="N485" s="13">
        <f t="shared" si="143"/>
        <v>0</v>
      </c>
      <c r="O485" s="160">
        <f t="shared" ref="O485:O486" si="144">IFERROR((L485/I485),0)</f>
        <v>0</v>
      </c>
      <c r="P485" s="13">
        <f t="shared" si="143"/>
        <v>68225004</v>
      </c>
      <c r="Q485" s="183">
        <f t="shared" si="142"/>
        <v>1</v>
      </c>
      <c r="R485" s="349">
        <f>+R486</f>
        <v>68225004</v>
      </c>
    </row>
    <row r="486" spans="1:18" s="176" customFormat="1">
      <c r="A486" s="10" t="s">
        <v>1256</v>
      </c>
      <c r="B486" s="14" t="s">
        <v>1257</v>
      </c>
      <c r="C486" s="10" t="s">
        <v>1258</v>
      </c>
      <c r="D486" s="25"/>
      <c r="E486" s="9" t="s">
        <v>1259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158">
        <f t="shared" si="144"/>
        <v>0</v>
      </c>
      <c r="P486" s="8">
        <f>+P487</f>
        <v>68225004</v>
      </c>
      <c r="Q486" s="183">
        <f t="shared" si="142"/>
        <v>1</v>
      </c>
      <c r="R486" s="347">
        <f>+R487</f>
        <v>68225004</v>
      </c>
    </row>
    <row r="487" spans="1:18" s="176" customFormat="1">
      <c r="A487" s="79"/>
      <c r="B487" s="80"/>
      <c r="C487" s="79"/>
      <c r="D487" s="28" t="s">
        <v>1086</v>
      </c>
      <c r="E487" s="29" t="s">
        <v>1087</v>
      </c>
      <c r="F487" s="30"/>
      <c r="G487" s="30"/>
      <c r="H487" s="30"/>
      <c r="I487" s="30"/>
      <c r="J487" s="30"/>
      <c r="K487" s="30"/>
      <c r="L487" s="30"/>
      <c r="M487" s="30"/>
      <c r="N487" s="30"/>
      <c r="O487" s="159"/>
      <c r="P487" s="30">
        <v>68225004</v>
      </c>
      <c r="Q487" s="183">
        <f t="shared" si="142"/>
        <v>1</v>
      </c>
      <c r="R487" s="171">
        <v>68225004</v>
      </c>
    </row>
    <row r="488" spans="1:18">
      <c r="A488" s="94" t="s">
        <v>1260</v>
      </c>
      <c r="B488" s="16" t="s">
        <v>989</v>
      </c>
      <c r="C488" s="12" t="s">
        <v>1261</v>
      </c>
      <c r="D488" s="24"/>
      <c r="E488" s="11" t="s">
        <v>1262</v>
      </c>
      <c r="F488" s="268">
        <v>61371000</v>
      </c>
      <c r="G488" s="269" t="s">
        <v>35</v>
      </c>
      <c r="H488" s="269" t="s">
        <v>35</v>
      </c>
      <c r="I488" s="270">
        <v>61371000</v>
      </c>
      <c r="J488" s="270">
        <v>57468841</v>
      </c>
      <c r="K488" s="269" t="s">
        <v>314</v>
      </c>
      <c r="L488" s="270">
        <v>57468841</v>
      </c>
      <c r="M488" s="270">
        <v>5201852</v>
      </c>
      <c r="N488" s="270">
        <v>12916756</v>
      </c>
      <c r="O488" s="271">
        <v>0.93640000000000001</v>
      </c>
      <c r="P488" s="13">
        <f t="shared" ref="P488" si="145">+P489</f>
        <v>56348490</v>
      </c>
      <c r="Q488" s="183">
        <f t="shared" si="142"/>
        <v>-8.9133000724597941E-2</v>
      </c>
      <c r="R488" s="349">
        <f>+R489</f>
        <v>56348490</v>
      </c>
    </row>
    <row r="489" spans="1:18">
      <c r="A489" s="10" t="s">
        <v>1263</v>
      </c>
      <c r="B489" s="14" t="s">
        <v>1264</v>
      </c>
      <c r="C489" s="10" t="s">
        <v>1265</v>
      </c>
      <c r="D489" s="25"/>
      <c r="E489" s="9" t="s">
        <v>1266</v>
      </c>
      <c r="F489" s="216">
        <v>61371000</v>
      </c>
      <c r="G489" s="217" t="s">
        <v>48</v>
      </c>
      <c r="H489" s="217" t="s">
        <v>48</v>
      </c>
      <c r="I489" s="218">
        <v>61371000</v>
      </c>
      <c r="J489" s="218">
        <v>57468841</v>
      </c>
      <c r="K489" s="217" t="s">
        <v>112</v>
      </c>
      <c r="L489" s="218">
        <v>57468841</v>
      </c>
      <c r="M489" s="218">
        <v>5201852</v>
      </c>
      <c r="N489" s="218">
        <v>12916756</v>
      </c>
      <c r="O489" s="219">
        <v>0.93640000000000001</v>
      </c>
      <c r="P489" s="8">
        <f t="shared" ref="P489" si="146">SUM(P490:P491)</f>
        <v>56348490</v>
      </c>
      <c r="Q489" s="183">
        <f t="shared" si="142"/>
        <v>-8.9133000724597941E-2</v>
      </c>
      <c r="R489" s="347">
        <f>SUM(R490:R491)</f>
        <v>56348490</v>
      </c>
    </row>
    <row r="490" spans="1:18" s="177" customFormat="1">
      <c r="A490" s="79"/>
      <c r="B490" s="80"/>
      <c r="C490" s="79" t="s">
        <v>1265</v>
      </c>
      <c r="D490" s="28" t="s">
        <v>1101</v>
      </c>
      <c r="E490" s="29" t="s">
        <v>1102</v>
      </c>
      <c r="F490" s="227">
        <v>53922000</v>
      </c>
      <c r="G490" s="225" t="s">
        <v>48</v>
      </c>
      <c r="H490" s="225" t="s">
        <v>48</v>
      </c>
      <c r="I490" s="228">
        <v>53922000</v>
      </c>
      <c r="J490" s="228">
        <v>53922000</v>
      </c>
      <c r="K490" s="225" t="s">
        <v>112</v>
      </c>
      <c r="L490" s="228">
        <v>53922000</v>
      </c>
      <c r="M490" s="228">
        <v>4991285</v>
      </c>
      <c r="N490" s="228">
        <v>11863921</v>
      </c>
      <c r="O490" s="226">
        <v>1</v>
      </c>
      <c r="P490" s="30">
        <v>56348490</v>
      </c>
      <c r="Q490" s="183">
        <f t="shared" si="142"/>
        <v>4.3062200956937802E-2</v>
      </c>
      <c r="R490" s="171">
        <v>56348490</v>
      </c>
    </row>
    <row r="491" spans="1:18" s="177" customFormat="1">
      <c r="A491" s="79"/>
      <c r="B491" s="80"/>
      <c r="C491" s="79" t="s">
        <v>1265</v>
      </c>
      <c r="D491" s="28" t="s">
        <v>1250</v>
      </c>
      <c r="E491" s="29" t="s">
        <v>1251</v>
      </c>
      <c r="F491" s="227">
        <v>7449000</v>
      </c>
      <c r="G491" s="225" t="s">
        <v>48</v>
      </c>
      <c r="H491" s="225" t="s">
        <v>48</v>
      </c>
      <c r="I491" s="228">
        <v>7449000</v>
      </c>
      <c r="J491" s="228">
        <v>3546841</v>
      </c>
      <c r="K491" s="225" t="s">
        <v>112</v>
      </c>
      <c r="L491" s="228">
        <v>3546841</v>
      </c>
      <c r="M491" s="228">
        <v>210567</v>
      </c>
      <c r="N491" s="228">
        <v>1052835</v>
      </c>
      <c r="O491" s="226">
        <v>0.47610000000000002</v>
      </c>
      <c r="P491" s="30"/>
      <c r="Q491" s="183" t="e">
        <f t="shared" si="142"/>
        <v>#DIV/0!</v>
      </c>
      <c r="R491" s="171"/>
    </row>
    <row r="492" spans="1:18" s="175" customFormat="1">
      <c r="A492" s="89" t="s">
        <v>1267</v>
      </c>
      <c r="B492" s="90" t="s">
        <v>1268</v>
      </c>
      <c r="C492" s="91" t="s">
        <v>1269</v>
      </c>
      <c r="D492" s="92"/>
      <c r="E492" s="37" t="s">
        <v>1270</v>
      </c>
      <c r="F492" s="253">
        <v>10263001000</v>
      </c>
      <c r="G492" s="243">
        <v>3517630301</v>
      </c>
      <c r="H492" s="243">
        <v>3198692774</v>
      </c>
      <c r="I492" s="243">
        <v>13461693774</v>
      </c>
      <c r="J492" s="243">
        <v>9120689952</v>
      </c>
      <c r="K492" s="243">
        <v>33717982</v>
      </c>
      <c r="L492" s="243">
        <v>8858389986</v>
      </c>
      <c r="M492" s="243">
        <v>549852009</v>
      </c>
      <c r="N492" s="243">
        <v>3678017196</v>
      </c>
      <c r="O492" s="244">
        <v>0.65800000000000003</v>
      </c>
      <c r="P492" s="93">
        <f t="shared" ref="P492" si="147">+P493+P516+P526</f>
        <v>9147657954</v>
      </c>
      <c r="Q492" s="183">
        <f t="shared" si="142"/>
        <v>-0.47160003595385852</v>
      </c>
      <c r="R492" s="354">
        <f>+R493+R516+R526</f>
        <v>9147657954</v>
      </c>
    </row>
    <row r="493" spans="1:18">
      <c r="A493" s="94" t="s">
        <v>1271</v>
      </c>
      <c r="B493" s="16" t="s">
        <v>1272</v>
      </c>
      <c r="C493" s="12" t="s">
        <v>1273</v>
      </c>
      <c r="D493" s="24"/>
      <c r="E493" s="11" t="s">
        <v>1274</v>
      </c>
      <c r="F493" s="211">
        <v>5249671000</v>
      </c>
      <c r="G493" s="212" t="s">
        <v>35</v>
      </c>
      <c r="H493" s="213">
        <v>-325987981</v>
      </c>
      <c r="I493" s="213">
        <v>4923683019</v>
      </c>
      <c r="J493" s="213">
        <v>4489286113</v>
      </c>
      <c r="K493" s="213">
        <v>11466000</v>
      </c>
      <c r="L493" s="213">
        <v>4296703622</v>
      </c>
      <c r="M493" s="213">
        <v>23114352</v>
      </c>
      <c r="N493" s="213">
        <v>388740330</v>
      </c>
      <c r="O493" s="214">
        <v>0.87270000000000003</v>
      </c>
      <c r="P493" s="13">
        <f t="shared" ref="P493" si="148">+P494+P513</f>
        <v>5456091733</v>
      </c>
      <c r="Q493" s="183">
        <f t="shared" si="142"/>
        <v>9.7580601656647406E-2</v>
      </c>
      <c r="R493" s="349">
        <f>+R494+R513</f>
        <v>5456091733</v>
      </c>
    </row>
    <row r="494" spans="1:18" s="175" customFormat="1">
      <c r="A494" s="72" t="s">
        <v>1275</v>
      </c>
      <c r="B494" s="73" t="s">
        <v>989</v>
      </c>
      <c r="C494" s="74" t="s">
        <v>1276</v>
      </c>
      <c r="D494" s="75"/>
      <c r="E494" s="20" t="s">
        <v>1277</v>
      </c>
      <c r="F494" s="206">
        <v>5184671000</v>
      </c>
      <c r="G494" s="207" t="s">
        <v>35</v>
      </c>
      <c r="H494" s="208">
        <v>-316887981</v>
      </c>
      <c r="I494" s="208">
        <v>4867783019</v>
      </c>
      <c r="J494" s="208">
        <v>4489286113</v>
      </c>
      <c r="K494" s="208">
        <v>11466000</v>
      </c>
      <c r="L494" s="208">
        <v>4296703622</v>
      </c>
      <c r="M494" s="208">
        <v>23114352</v>
      </c>
      <c r="N494" s="208">
        <v>388740330</v>
      </c>
      <c r="O494" s="209">
        <v>0.88270000000000004</v>
      </c>
      <c r="P494" s="76">
        <f t="shared" ref="P494" si="149">+P495+P498+P503</f>
        <v>5386203733</v>
      </c>
      <c r="Q494" s="183">
        <f t="shared" si="142"/>
        <v>9.6249740949039583E-2</v>
      </c>
      <c r="R494" s="345">
        <f>+R495+R498+R503</f>
        <v>5386203733</v>
      </c>
    </row>
    <row r="495" spans="1:18" s="177" customFormat="1">
      <c r="A495" s="39" t="s">
        <v>1278</v>
      </c>
      <c r="B495" s="95" t="s">
        <v>989</v>
      </c>
      <c r="C495" s="96" t="s">
        <v>1279</v>
      </c>
      <c r="D495" s="38"/>
      <c r="E495" s="39" t="s">
        <v>1280</v>
      </c>
      <c r="F495" s="249">
        <v>175508000</v>
      </c>
      <c r="G495" s="250" t="s">
        <v>35</v>
      </c>
      <c r="H495" s="250" t="s">
        <v>35</v>
      </c>
      <c r="I495" s="251">
        <v>175508000</v>
      </c>
      <c r="J495" s="251">
        <v>120124300</v>
      </c>
      <c r="K495" s="251">
        <v>11466000</v>
      </c>
      <c r="L495" s="251">
        <v>120124300</v>
      </c>
      <c r="M495" s="251">
        <v>11466000</v>
      </c>
      <c r="N495" s="251">
        <v>120124200</v>
      </c>
      <c r="O495" s="252">
        <v>0.68440000000000001</v>
      </c>
      <c r="P495" s="97">
        <f t="shared" ref="P495:P496" si="150">+P496</f>
        <v>0</v>
      </c>
      <c r="Q495" s="183" t="e">
        <f t="shared" si="142"/>
        <v>#DIV/0!</v>
      </c>
      <c r="R495" s="355">
        <f>+R496</f>
        <v>0</v>
      </c>
    </row>
    <row r="496" spans="1:18" s="177" customFormat="1">
      <c r="A496" s="10"/>
      <c r="B496" s="14" t="s">
        <v>1281</v>
      </c>
      <c r="C496" s="10" t="s">
        <v>1282</v>
      </c>
      <c r="D496" s="25"/>
      <c r="E496" s="9" t="s">
        <v>1283</v>
      </c>
      <c r="F496" s="216">
        <v>175508000</v>
      </c>
      <c r="G496" s="217" t="s">
        <v>48</v>
      </c>
      <c r="H496" s="217" t="s">
        <v>48</v>
      </c>
      <c r="I496" s="218">
        <v>175508000</v>
      </c>
      <c r="J496" s="218">
        <v>120124300</v>
      </c>
      <c r="K496" s="218">
        <v>11466000</v>
      </c>
      <c r="L496" s="218">
        <v>120124300</v>
      </c>
      <c r="M496" s="218">
        <v>11466000</v>
      </c>
      <c r="N496" s="218">
        <v>120124200</v>
      </c>
      <c r="O496" s="219">
        <v>0.68440000000000001</v>
      </c>
      <c r="P496" s="8">
        <f t="shared" si="150"/>
        <v>0</v>
      </c>
      <c r="Q496" s="183" t="e">
        <f t="shared" si="142"/>
        <v>#DIV/0!</v>
      </c>
      <c r="R496" s="347">
        <f>+R497</f>
        <v>0</v>
      </c>
    </row>
    <row r="497" spans="1:18" s="177" customFormat="1">
      <c r="A497" s="79"/>
      <c r="B497" s="80"/>
      <c r="C497" s="79" t="s">
        <v>1282</v>
      </c>
      <c r="D497" s="28" t="s">
        <v>346</v>
      </c>
      <c r="E497" s="29" t="s">
        <v>347</v>
      </c>
      <c r="F497" s="227">
        <v>175508000</v>
      </c>
      <c r="G497" s="225" t="s">
        <v>48</v>
      </c>
      <c r="H497" s="225" t="s">
        <v>48</v>
      </c>
      <c r="I497" s="228">
        <v>175508000</v>
      </c>
      <c r="J497" s="228">
        <v>120124300</v>
      </c>
      <c r="K497" s="228">
        <v>11466000</v>
      </c>
      <c r="L497" s="228">
        <v>120124300</v>
      </c>
      <c r="M497" s="228">
        <v>11466000</v>
      </c>
      <c r="N497" s="228">
        <v>120124200</v>
      </c>
      <c r="O497" s="226">
        <v>0.68440000000000001</v>
      </c>
      <c r="P497" s="30"/>
      <c r="Q497" s="183" t="e">
        <f t="shared" si="142"/>
        <v>#DIV/0!</v>
      </c>
      <c r="R497" s="171"/>
    </row>
    <row r="498" spans="1:18" s="177" customFormat="1">
      <c r="A498" s="39" t="s">
        <v>1284</v>
      </c>
      <c r="B498" s="95" t="s">
        <v>989</v>
      </c>
      <c r="C498" s="96" t="s">
        <v>1285</v>
      </c>
      <c r="D498" s="38"/>
      <c r="E498" s="39" t="s">
        <v>1286</v>
      </c>
      <c r="F498" s="249">
        <v>760083000</v>
      </c>
      <c r="G498" s="250" t="s">
        <v>35</v>
      </c>
      <c r="H498" s="251">
        <v>-281053280</v>
      </c>
      <c r="I498" s="251">
        <v>479029720</v>
      </c>
      <c r="J498" s="251">
        <v>476999920</v>
      </c>
      <c r="K498" s="250" t="s">
        <v>314</v>
      </c>
      <c r="L498" s="251">
        <v>476120220</v>
      </c>
      <c r="M498" s="251">
        <v>11173500</v>
      </c>
      <c r="N498" s="251">
        <v>133636129</v>
      </c>
      <c r="O498" s="252">
        <v>0.99390000000000001</v>
      </c>
      <c r="P498" s="97">
        <f t="shared" ref="P498" si="151">+P499+P501</f>
        <v>854527133</v>
      </c>
      <c r="Q498" s="183">
        <f t="shared" si="142"/>
        <v>0.43942128751574705</v>
      </c>
      <c r="R498" s="355">
        <f>+R499+R501</f>
        <v>854527133</v>
      </c>
    </row>
    <row r="499" spans="1:18" s="176" customFormat="1">
      <c r="A499" s="10" t="s">
        <v>1287</v>
      </c>
      <c r="B499" s="14" t="s">
        <v>1288</v>
      </c>
      <c r="C499" s="10" t="s">
        <v>1289</v>
      </c>
      <c r="D499" s="25"/>
      <c r="E499" s="9" t="s">
        <v>1290</v>
      </c>
      <c r="F499" s="216">
        <v>746000000</v>
      </c>
      <c r="G499" s="217" t="s">
        <v>48</v>
      </c>
      <c r="H499" s="218">
        <v>-281053280</v>
      </c>
      <c r="I499" s="218">
        <v>464946720</v>
      </c>
      <c r="J499" s="218">
        <v>464946720</v>
      </c>
      <c r="K499" s="217" t="s">
        <v>112</v>
      </c>
      <c r="L499" s="218">
        <v>464946720</v>
      </c>
      <c r="M499" s="217" t="s">
        <v>113</v>
      </c>
      <c r="N499" s="218">
        <v>122462629</v>
      </c>
      <c r="O499" s="219">
        <v>1</v>
      </c>
      <c r="P499" s="8">
        <f t="shared" ref="P499" si="152">+P500</f>
        <v>839810398</v>
      </c>
      <c r="Q499" s="183">
        <f t="shared" si="142"/>
        <v>0.44636703581276688</v>
      </c>
      <c r="R499" s="347">
        <f>+R500</f>
        <v>839810398</v>
      </c>
    </row>
    <row r="500" spans="1:18" s="177" customFormat="1">
      <c r="A500" s="79"/>
      <c r="B500" s="80"/>
      <c r="C500" s="79" t="s">
        <v>1289</v>
      </c>
      <c r="D500" s="28" t="s">
        <v>346</v>
      </c>
      <c r="E500" s="29" t="s">
        <v>347</v>
      </c>
      <c r="F500" s="227">
        <v>746000000</v>
      </c>
      <c r="G500" s="225" t="s">
        <v>48</v>
      </c>
      <c r="H500" s="228">
        <v>-281053280</v>
      </c>
      <c r="I500" s="228">
        <v>464946720</v>
      </c>
      <c r="J500" s="228">
        <v>464946720</v>
      </c>
      <c r="K500" s="225" t="s">
        <v>112</v>
      </c>
      <c r="L500" s="228">
        <v>464946720</v>
      </c>
      <c r="M500" s="225" t="s">
        <v>113</v>
      </c>
      <c r="N500" s="228">
        <v>122462629</v>
      </c>
      <c r="O500" s="226">
        <v>1</v>
      </c>
      <c r="P500" s="30">
        <v>839810398</v>
      </c>
      <c r="Q500" s="183">
        <f t="shared" si="142"/>
        <v>0.44636703581276688</v>
      </c>
      <c r="R500" s="171">
        <v>839810398</v>
      </c>
    </row>
    <row r="501" spans="1:18" s="176" customFormat="1">
      <c r="A501" s="10" t="s">
        <v>1291</v>
      </c>
      <c r="B501" s="14" t="s">
        <v>1292</v>
      </c>
      <c r="C501" s="10" t="s">
        <v>1293</v>
      </c>
      <c r="D501" s="25"/>
      <c r="E501" s="9" t="s">
        <v>1294</v>
      </c>
      <c r="F501" s="216">
        <v>14083000</v>
      </c>
      <c r="G501" s="217" t="s">
        <v>48</v>
      </c>
      <c r="H501" s="217" t="s">
        <v>48</v>
      </c>
      <c r="I501" s="218">
        <v>14083000</v>
      </c>
      <c r="J501" s="218">
        <v>12053200</v>
      </c>
      <c r="K501" s="217" t="s">
        <v>112</v>
      </c>
      <c r="L501" s="218">
        <v>11173500</v>
      </c>
      <c r="M501" s="218">
        <v>11173500</v>
      </c>
      <c r="N501" s="218">
        <v>11173500</v>
      </c>
      <c r="O501" s="219">
        <v>0.79339999999999999</v>
      </c>
      <c r="P501" s="8">
        <f t="shared" ref="P501" si="153">+P502</f>
        <v>14716735</v>
      </c>
      <c r="Q501" s="183">
        <f t="shared" si="142"/>
        <v>4.3062200956937802E-2</v>
      </c>
      <c r="R501" s="347">
        <f>+R502</f>
        <v>14716735</v>
      </c>
    </row>
    <row r="502" spans="1:18" s="177" customFormat="1">
      <c r="A502" s="79"/>
      <c r="B502" s="80"/>
      <c r="C502" s="79" t="s">
        <v>1293</v>
      </c>
      <c r="D502" s="28" t="s">
        <v>1101</v>
      </c>
      <c r="E502" s="29" t="s">
        <v>1102</v>
      </c>
      <c r="F502" s="227">
        <v>14083000</v>
      </c>
      <c r="G502" s="225" t="s">
        <v>48</v>
      </c>
      <c r="H502" s="225" t="s">
        <v>48</v>
      </c>
      <c r="I502" s="228">
        <v>14083000</v>
      </c>
      <c r="J502" s="228">
        <v>12053200</v>
      </c>
      <c r="K502" s="225" t="s">
        <v>112</v>
      </c>
      <c r="L502" s="228">
        <v>11173500</v>
      </c>
      <c r="M502" s="228">
        <v>11173500</v>
      </c>
      <c r="N502" s="228">
        <v>11173500</v>
      </c>
      <c r="O502" s="226">
        <v>0.79339999999999999</v>
      </c>
      <c r="P502" s="30">
        <v>14716735</v>
      </c>
      <c r="Q502" s="183">
        <f t="shared" si="142"/>
        <v>4.3062200956937802E-2</v>
      </c>
      <c r="R502" s="171">
        <v>14716735</v>
      </c>
    </row>
    <row r="503" spans="1:18" s="177" customFormat="1">
      <c r="A503" s="39" t="s">
        <v>1295</v>
      </c>
      <c r="B503" s="95" t="s">
        <v>989</v>
      </c>
      <c r="C503" s="96" t="s">
        <v>1296</v>
      </c>
      <c r="D503" s="38"/>
      <c r="E503" s="39" t="s">
        <v>1297</v>
      </c>
      <c r="F503" s="249">
        <v>4249080000</v>
      </c>
      <c r="G503" s="250" t="s">
        <v>35</v>
      </c>
      <c r="H503" s="251">
        <v>-35834701</v>
      </c>
      <c r="I503" s="251">
        <v>4213245299</v>
      </c>
      <c r="J503" s="251">
        <v>3892161893</v>
      </c>
      <c r="K503" s="250" t="s">
        <v>314</v>
      </c>
      <c r="L503" s="251">
        <v>3700459102</v>
      </c>
      <c r="M503" s="251">
        <v>474852</v>
      </c>
      <c r="N503" s="251">
        <v>134980001</v>
      </c>
      <c r="O503" s="252">
        <v>0.87829999999999997</v>
      </c>
      <c r="P503" s="97">
        <f t="shared" ref="P503" si="154">+P504+P506+P508+P510</f>
        <v>4531676600</v>
      </c>
      <c r="Q503" s="183">
        <f t="shared" si="142"/>
        <v>7.0267878559560057E-2</v>
      </c>
      <c r="R503" s="355">
        <f>+R504+R506+R508+R510</f>
        <v>4531676600</v>
      </c>
    </row>
    <row r="504" spans="1:18" s="176" customFormat="1">
      <c r="A504" s="10" t="s">
        <v>1298</v>
      </c>
      <c r="B504" s="14" t="s">
        <v>1299</v>
      </c>
      <c r="C504" s="10" t="s">
        <v>1300</v>
      </c>
      <c r="D504" s="25"/>
      <c r="E504" s="9" t="s">
        <v>1301</v>
      </c>
      <c r="F504" s="272">
        <v>31080000</v>
      </c>
      <c r="G504" s="255" t="s">
        <v>48</v>
      </c>
      <c r="H504" s="255" t="s">
        <v>48</v>
      </c>
      <c r="I504" s="273">
        <v>31080000</v>
      </c>
      <c r="J504" s="273">
        <v>23257985</v>
      </c>
      <c r="K504" s="255" t="s">
        <v>112</v>
      </c>
      <c r="L504" s="273">
        <v>22632610</v>
      </c>
      <c r="M504" s="255" t="s">
        <v>113</v>
      </c>
      <c r="N504" s="255" t="s">
        <v>114</v>
      </c>
      <c r="O504" s="274">
        <v>0.72819999999999996</v>
      </c>
      <c r="P504" s="8">
        <f t="shared" ref="P504" si="155">+P505</f>
        <v>32478600</v>
      </c>
      <c r="Q504" s="183">
        <f t="shared" si="142"/>
        <v>4.3062200956937802E-2</v>
      </c>
      <c r="R504" s="347">
        <f>+R505</f>
        <v>32478600</v>
      </c>
    </row>
    <row r="505" spans="1:18" s="177" customFormat="1">
      <c r="A505" s="79"/>
      <c r="B505" s="80"/>
      <c r="C505" s="79" t="s">
        <v>1300</v>
      </c>
      <c r="D505" s="28" t="s">
        <v>1101</v>
      </c>
      <c r="E505" s="29" t="s">
        <v>1102</v>
      </c>
      <c r="F505" s="227">
        <v>31080000</v>
      </c>
      <c r="G505" s="225" t="s">
        <v>48</v>
      </c>
      <c r="H505" s="225" t="s">
        <v>48</v>
      </c>
      <c r="I505" s="228">
        <v>31080000</v>
      </c>
      <c r="J505" s="228">
        <v>23257985</v>
      </c>
      <c r="K505" s="225" t="s">
        <v>112</v>
      </c>
      <c r="L505" s="228">
        <v>22632610</v>
      </c>
      <c r="M505" s="225" t="s">
        <v>113</v>
      </c>
      <c r="N505" s="225" t="s">
        <v>114</v>
      </c>
      <c r="O505" s="226">
        <v>0.72819999999999996</v>
      </c>
      <c r="P505" s="30">
        <v>32478600</v>
      </c>
      <c r="Q505" s="183">
        <f t="shared" si="142"/>
        <v>4.3062200956937802E-2</v>
      </c>
      <c r="R505" s="171">
        <v>32478600</v>
      </c>
    </row>
    <row r="506" spans="1:18" s="176" customFormat="1">
      <c r="A506" s="10" t="s">
        <v>1302</v>
      </c>
      <c r="B506" s="14" t="s">
        <v>1303</v>
      </c>
      <c r="C506" s="10" t="s">
        <v>1304</v>
      </c>
      <c r="D506" s="25"/>
      <c r="E506" s="9" t="s">
        <v>1305</v>
      </c>
      <c r="F506" s="216">
        <v>2553000000</v>
      </c>
      <c r="G506" s="217" t="s">
        <v>48</v>
      </c>
      <c r="H506" s="218">
        <v>-80000000</v>
      </c>
      <c r="I506" s="218">
        <v>2473000000</v>
      </c>
      <c r="J506" s="218">
        <v>2250180141</v>
      </c>
      <c r="K506" s="217" t="s">
        <v>112</v>
      </c>
      <c r="L506" s="218">
        <v>2133709033</v>
      </c>
      <c r="M506" s="218">
        <v>474852</v>
      </c>
      <c r="N506" s="218">
        <v>90814702</v>
      </c>
      <c r="O506" s="219">
        <v>0.86280000000000001</v>
      </c>
      <c r="P506" s="8">
        <f t="shared" ref="P506" si="156">+P507</f>
        <v>2759273000</v>
      </c>
      <c r="Q506" s="183">
        <f t="shared" si="142"/>
        <v>0.10374942965049128</v>
      </c>
      <c r="R506" s="347">
        <f>+R507</f>
        <v>2759273000</v>
      </c>
    </row>
    <row r="507" spans="1:18" s="177" customFormat="1">
      <c r="A507" s="79"/>
      <c r="B507" s="80"/>
      <c r="C507" s="79" t="s">
        <v>1304</v>
      </c>
      <c r="D507" s="28" t="s">
        <v>1101</v>
      </c>
      <c r="E507" s="29" t="s">
        <v>1102</v>
      </c>
      <c r="F507" s="227">
        <v>2553000000</v>
      </c>
      <c r="G507" s="225" t="s">
        <v>48</v>
      </c>
      <c r="H507" s="228">
        <v>-80000000</v>
      </c>
      <c r="I507" s="228">
        <v>2473000000</v>
      </c>
      <c r="J507" s="228">
        <v>2250180141</v>
      </c>
      <c r="K507" s="225" t="s">
        <v>112</v>
      </c>
      <c r="L507" s="228">
        <v>2133709033</v>
      </c>
      <c r="M507" s="228">
        <v>474852</v>
      </c>
      <c r="N507" s="228">
        <v>90814702</v>
      </c>
      <c r="O507" s="226">
        <v>0.86280000000000001</v>
      </c>
      <c r="P507" s="30">
        <v>2759273000</v>
      </c>
      <c r="Q507" s="183">
        <f t="shared" si="142"/>
        <v>0.10374942965049128</v>
      </c>
      <c r="R507" s="171">
        <v>2759273000</v>
      </c>
    </row>
    <row r="508" spans="1:18" s="176" customFormat="1">
      <c r="A508" s="10" t="s">
        <v>1306</v>
      </c>
      <c r="B508" s="14" t="s">
        <v>1307</v>
      </c>
      <c r="C508" s="10" t="s">
        <v>1308</v>
      </c>
      <c r="D508" s="25"/>
      <c r="E508" s="9" t="s">
        <v>1309</v>
      </c>
      <c r="F508" s="216">
        <v>1665000000</v>
      </c>
      <c r="G508" s="217" t="s">
        <v>48</v>
      </c>
      <c r="H508" s="217" t="s">
        <v>48</v>
      </c>
      <c r="I508" s="218">
        <v>1665000000</v>
      </c>
      <c r="J508" s="218">
        <v>1574558468</v>
      </c>
      <c r="K508" s="217" t="s">
        <v>112</v>
      </c>
      <c r="L508" s="218">
        <v>1499952160</v>
      </c>
      <c r="M508" s="217" t="s">
        <v>113</v>
      </c>
      <c r="N508" s="217" t="s">
        <v>114</v>
      </c>
      <c r="O508" s="219">
        <v>0.90090000000000003</v>
      </c>
      <c r="P508" s="8">
        <f t="shared" ref="P508" si="157">+P509</f>
        <v>1739925000</v>
      </c>
      <c r="Q508" s="183">
        <f t="shared" si="142"/>
        <v>4.3062200956937802E-2</v>
      </c>
      <c r="R508" s="347">
        <f>+R509</f>
        <v>1739925000</v>
      </c>
    </row>
    <row r="509" spans="1:18" s="177" customFormat="1">
      <c r="A509" s="79"/>
      <c r="B509" s="80"/>
      <c r="C509" s="79" t="s">
        <v>1308</v>
      </c>
      <c r="D509" s="28" t="s">
        <v>1101</v>
      </c>
      <c r="E509" s="29" t="s">
        <v>1102</v>
      </c>
      <c r="F509" s="227">
        <v>1665000000</v>
      </c>
      <c r="G509" s="225" t="s">
        <v>48</v>
      </c>
      <c r="H509" s="225" t="s">
        <v>48</v>
      </c>
      <c r="I509" s="228">
        <v>1665000000</v>
      </c>
      <c r="J509" s="228">
        <v>1574558468</v>
      </c>
      <c r="K509" s="225" t="s">
        <v>112</v>
      </c>
      <c r="L509" s="228">
        <v>1499952160</v>
      </c>
      <c r="M509" s="225" t="s">
        <v>113</v>
      </c>
      <c r="N509" s="225" t="s">
        <v>114</v>
      </c>
      <c r="O509" s="226">
        <v>0.90090000000000003</v>
      </c>
      <c r="P509" s="30">
        <v>1739925000</v>
      </c>
      <c r="Q509" s="183">
        <f t="shared" si="142"/>
        <v>4.3062200956937802E-2</v>
      </c>
      <c r="R509" s="171">
        <v>1739925000</v>
      </c>
    </row>
    <row r="510" spans="1:18" s="176" customFormat="1">
      <c r="A510" s="10" t="s">
        <v>1310</v>
      </c>
      <c r="B510" s="14" t="s">
        <v>1311</v>
      </c>
      <c r="C510" s="10" t="s">
        <v>1312</v>
      </c>
      <c r="D510" s="25"/>
      <c r="E510" s="9" t="s">
        <v>1313</v>
      </c>
      <c r="F510" s="215" t="s">
        <v>304</v>
      </c>
      <c r="G510" s="217" t="s">
        <v>48</v>
      </c>
      <c r="H510" s="218">
        <v>44165299</v>
      </c>
      <c r="I510" s="218">
        <v>44165299</v>
      </c>
      <c r="J510" s="218">
        <v>44165299</v>
      </c>
      <c r="K510" s="217" t="s">
        <v>112</v>
      </c>
      <c r="L510" s="218">
        <v>44165299</v>
      </c>
      <c r="M510" s="217" t="s">
        <v>113</v>
      </c>
      <c r="N510" s="218">
        <v>44165299</v>
      </c>
      <c r="O510" s="219">
        <v>1</v>
      </c>
      <c r="P510" s="8">
        <f t="shared" ref="P510" si="158">P511+P512</f>
        <v>0</v>
      </c>
      <c r="Q510" s="183" t="e">
        <f t="shared" si="142"/>
        <v>#DIV/0!</v>
      </c>
      <c r="R510" s="347">
        <f>R511+R512</f>
        <v>0</v>
      </c>
    </row>
    <row r="511" spans="1:18" s="177" customFormat="1">
      <c r="A511" s="79"/>
      <c r="B511" s="80"/>
      <c r="C511" s="79" t="s">
        <v>1312</v>
      </c>
      <c r="D511" s="28" t="s">
        <v>1001</v>
      </c>
      <c r="E511" s="29" t="s">
        <v>1314</v>
      </c>
      <c r="F511" s="224" t="s">
        <v>304</v>
      </c>
      <c r="G511" s="225" t="s">
        <v>48</v>
      </c>
      <c r="H511" s="225" t="s">
        <v>48</v>
      </c>
      <c r="I511" s="225" t="s">
        <v>304</v>
      </c>
      <c r="J511" s="225" t="s">
        <v>305</v>
      </c>
      <c r="K511" s="225" t="s">
        <v>112</v>
      </c>
      <c r="L511" s="225" t="s">
        <v>112</v>
      </c>
      <c r="M511" s="225" t="s">
        <v>113</v>
      </c>
      <c r="N511" s="225" t="s">
        <v>114</v>
      </c>
      <c r="O511" s="226">
        <v>0</v>
      </c>
      <c r="P511" s="30"/>
      <c r="Q511" s="183" t="e">
        <f t="shared" si="142"/>
        <v>#VALUE!</v>
      </c>
      <c r="R511" s="171"/>
    </row>
    <row r="512" spans="1:18" s="177" customFormat="1">
      <c r="A512" s="79"/>
      <c r="B512" s="80"/>
      <c r="C512" s="79" t="s">
        <v>1312</v>
      </c>
      <c r="D512" s="28" t="s">
        <v>1101</v>
      </c>
      <c r="E512" s="29" t="s">
        <v>1102</v>
      </c>
      <c r="F512" s="224" t="s">
        <v>304</v>
      </c>
      <c r="G512" s="225" t="s">
        <v>48</v>
      </c>
      <c r="H512" s="228">
        <v>44165299</v>
      </c>
      <c r="I512" s="228">
        <v>44165299</v>
      </c>
      <c r="J512" s="228">
        <v>44165299</v>
      </c>
      <c r="K512" s="225" t="s">
        <v>112</v>
      </c>
      <c r="L512" s="228">
        <v>44165299</v>
      </c>
      <c r="M512" s="225" t="s">
        <v>113</v>
      </c>
      <c r="N512" s="228">
        <v>44165299</v>
      </c>
      <c r="O512" s="226">
        <v>1</v>
      </c>
      <c r="P512" s="30"/>
      <c r="Q512" s="183" t="e">
        <f t="shared" si="142"/>
        <v>#DIV/0!</v>
      </c>
      <c r="R512" s="171"/>
    </row>
    <row r="513" spans="1:18" s="175" customFormat="1">
      <c r="A513" s="72" t="s">
        <v>1315</v>
      </c>
      <c r="B513" s="73" t="s">
        <v>989</v>
      </c>
      <c r="C513" s="74" t="s">
        <v>1316</v>
      </c>
      <c r="D513" s="75"/>
      <c r="E513" s="20" t="s">
        <v>1317</v>
      </c>
      <c r="F513" s="206">
        <v>65000000</v>
      </c>
      <c r="G513" s="207" t="s">
        <v>35</v>
      </c>
      <c r="H513" s="208">
        <v>-9100000</v>
      </c>
      <c r="I513" s="208">
        <v>55900000</v>
      </c>
      <c r="J513" s="207" t="s">
        <v>476</v>
      </c>
      <c r="K513" s="207" t="s">
        <v>314</v>
      </c>
      <c r="L513" s="207" t="s">
        <v>314</v>
      </c>
      <c r="M513" s="207" t="s">
        <v>315</v>
      </c>
      <c r="N513" s="207" t="s">
        <v>448</v>
      </c>
      <c r="O513" s="209">
        <v>0</v>
      </c>
      <c r="P513" s="76">
        <f t="shared" ref="P513:P514" si="159">+P514</f>
        <v>69888000</v>
      </c>
      <c r="Q513" s="183">
        <f t="shared" si="142"/>
        <v>0.20014880952380953</v>
      </c>
      <c r="R513" s="345">
        <f>+R514</f>
        <v>69888000</v>
      </c>
    </row>
    <row r="514" spans="1:18" s="176" customFormat="1">
      <c r="A514" s="10" t="s">
        <v>1318</v>
      </c>
      <c r="B514" s="14" t="s">
        <v>1319</v>
      </c>
      <c r="C514" s="10" t="s">
        <v>1320</v>
      </c>
      <c r="D514" s="25"/>
      <c r="E514" s="9" t="s">
        <v>1321</v>
      </c>
      <c r="F514" s="216">
        <v>65000000</v>
      </c>
      <c r="G514" s="217" t="s">
        <v>48</v>
      </c>
      <c r="H514" s="218">
        <v>-9100000</v>
      </c>
      <c r="I514" s="218">
        <v>55900000</v>
      </c>
      <c r="J514" s="217" t="s">
        <v>305</v>
      </c>
      <c r="K514" s="217" t="s">
        <v>112</v>
      </c>
      <c r="L514" s="217" t="s">
        <v>112</v>
      </c>
      <c r="M514" s="217" t="s">
        <v>113</v>
      </c>
      <c r="N514" s="217" t="s">
        <v>114</v>
      </c>
      <c r="O514" s="219">
        <v>0</v>
      </c>
      <c r="P514" s="8">
        <f t="shared" si="159"/>
        <v>69888000</v>
      </c>
      <c r="Q514" s="183">
        <f t="shared" si="142"/>
        <v>0.20014880952380953</v>
      </c>
      <c r="R514" s="347">
        <f>+R515</f>
        <v>69888000</v>
      </c>
    </row>
    <row r="515" spans="1:18" s="177" customFormat="1">
      <c r="A515" s="79"/>
      <c r="B515" s="80"/>
      <c r="C515" s="79" t="s">
        <v>1320</v>
      </c>
      <c r="D515" s="28" t="s">
        <v>346</v>
      </c>
      <c r="E515" s="29" t="s">
        <v>347</v>
      </c>
      <c r="F515" s="227">
        <v>65000000</v>
      </c>
      <c r="G515" s="225" t="s">
        <v>48</v>
      </c>
      <c r="H515" s="228">
        <v>-9100000</v>
      </c>
      <c r="I515" s="228">
        <v>55900000</v>
      </c>
      <c r="J515" s="225" t="s">
        <v>305</v>
      </c>
      <c r="K515" s="225" t="s">
        <v>112</v>
      </c>
      <c r="L515" s="225" t="s">
        <v>112</v>
      </c>
      <c r="M515" s="225" t="s">
        <v>113</v>
      </c>
      <c r="N515" s="225" t="s">
        <v>114</v>
      </c>
      <c r="O515" s="226">
        <v>0</v>
      </c>
      <c r="P515" s="30">
        <v>69888000</v>
      </c>
      <c r="Q515" s="183">
        <f t="shared" si="142"/>
        <v>0.20014880952380953</v>
      </c>
      <c r="R515" s="171">
        <v>69888000</v>
      </c>
    </row>
    <row r="516" spans="1:18">
      <c r="A516" s="94" t="s">
        <v>1322</v>
      </c>
      <c r="B516" s="16" t="s">
        <v>1323</v>
      </c>
      <c r="C516" s="12" t="s">
        <v>1324</v>
      </c>
      <c r="D516" s="24"/>
      <c r="E516" s="11" t="s">
        <v>1325</v>
      </c>
      <c r="F516" s="211">
        <v>4893330000</v>
      </c>
      <c r="G516" s="213">
        <v>3517630301</v>
      </c>
      <c r="H516" s="213">
        <v>3524680755</v>
      </c>
      <c r="I516" s="213">
        <v>8418010755</v>
      </c>
      <c r="J516" s="213">
        <v>4513454133</v>
      </c>
      <c r="K516" s="213">
        <v>22251982</v>
      </c>
      <c r="L516" s="213">
        <v>4511588078</v>
      </c>
      <c r="M516" s="213">
        <v>476723742</v>
      </c>
      <c r="N516" s="213">
        <v>3239262951</v>
      </c>
      <c r="O516" s="214">
        <v>0.53590000000000004</v>
      </c>
      <c r="P516" s="13">
        <f t="shared" ref="P516" si="160">+P517+P525</f>
        <v>3541566221</v>
      </c>
      <c r="Q516" s="183">
        <f t="shared" si="142"/>
        <v>-1.3769175075944458</v>
      </c>
      <c r="R516" s="349">
        <f>+R517+R525</f>
        <v>3541566221</v>
      </c>
    </row>
    <row r="517" spans="1:18">
      <c r="A517" s="10" t="s">
        <v>1326</v>
      </c>
      <c r="B517" s="14" t="s">
        <v>1327</v>
      </c>
      <c r="C517" s="10" t="s">
        <v>1328</v>
      </c>
      <c r="D517" s="25"/>
      <c r="E517" s="9" t="s">
        <v>1329</v>
      </c>
      <c r="F517" s="216">
        <v>4893330000</v>
      </c>
      <c r="G517" s="218">
        <v>3517630301</v>
      </c>
      <c r="H517" s="218">
        <v>3524680755</v>
      </c>
      <c r="I517" s="218">
        <v>8418010755</v>
      </c>
      <c r="J517" s="218">
        <v>4513454133</v>
      </c>
      <c r="K517" s="218">
        <v>22251982</v>
      </c>
      <c r="L517" s="218">
        <v>4511588078</v>
      </c>
      <c r="M517" s="218">
        <v>476723742</v>
      </c>
      <c r="N517" s="218">
        <v>3239262951</v>
      </c>
      <c r="O517" s="219">
        <v>0.53590000000000004</v>
      </c>
      <c r="P517" s="8">
        <f t="shared" ref="P517" si="161">SUM(P518:P524)</f>
        <v>3541566221</v>
      </c>
      <c r="Q517" s="183">
        <f t="shared" si="142"/>
        <v>-1.3769175075944458</v>
      </c>
      <c r="R517" s="347">
        <f>SUM(R518:R524)</f>
        <v>3541566221</v>
      </c>
    </row>
    <row r="518" spans="1:18" s="177" customFormat="1">
      <c r="A518" s="79"/>
      <c r="B518" s="80"/>
      <c r="C518" s="79" t="s">
        <v>1328</v>
      </c>
      <c r="D518" s="28" t="s">
        <v>1177</v>
      </c>
      <c r="E518" s="29" t="s">
        <v>1178</v>
      </c>
      <c r="F518" s="227">
        <v>121176000</v>
      </c>
      <c r="G518" s="225" t="s">
        <v>48</v>
      </c>
      <c r="H518" s="228">
        <v>7050454</v>
      </c>
      <c r="I518" s="228">
        <v>128226454</v>
      </c>
      <c r="J518" s="228">
        <v>118532484</v>
      </c>
      <c r="K518" s="228">
        <v>12478800</v>
      </c>
      <c r="L518" s="228">
        <v>118532484</v>
      </c>
      <c r="M518" s="225" t="s">
        <v>113</v>
      </c>
      <c r="N518" s="225" t="s">
        <v>114</v>
      </c>
      <c r="O518" s="226">
        <v>0.9244</v>
      </c>
      <c r="P518" s="30">
        <v>125000000</v>
      </c>
      <c r="Q518" s="183">
        <f t="shared" si="142"/>
        <v>-2.5811632000000001E-2</v>
      </c>
      <c r="R518" s="171">
        <v>125000000</v>
      </c>
    </row>
    <row r="519" spans="1:18" s="177" customFormat="1">
      <c r="A519" s="79"/>
      <c r="B519" s="80"/>
      <c r="C519" s="79" t="s">
        <v>1328</v>
      </c>
      <c r="D519" s="28" t="s">
        <v>409</v>
      </c>
      <c r="E519" s="29" t="s">
        <v>1220</v>
      </c>
      <c r="F519" s="227">
        <v>951399000</v>
      </c>
      <c r="G519" s="228">
        <v>184171911</v>
      </c>
      <c r="H519" s="228">
        <v>184171911</v>
      </c>
      <c r="I519" s="228">
        <v>1135570911</v>
      </c>
      <c r="J519" s="228">
        <v>694797120</v>
      </c>
      <c r="K519" s="225" t="s">
        <v>112</v>
      </c>
      <c r="L519" s="228">
        <v>694797120</v>
      </c>
      <c r="M519" s="228">
        <v>30844640</v>
      </c>
      <c r="N519" s="228">
        <v>395382480</v>
      </c>
      <c r="O519" s="226">
        <v>0.61180000000000001</v>
      </c>
      <c r="P519" s="30">
        <v>935157221</v>
      </c>
      <c r="Q519" s="183">
        <f t="shared" si="142"/>
        <v>-0.21431015608871612</v>
      </c>
      <c r="R519" s="171">
        <v>935157221</v>
      </c>
    </row>
    <row r="520" spans="1:18" s="177" customFormat="1">
      <c r="A520" s="79"/>
      <c r="B520" s="80"/>
      <c r="C520" s="79" t="s">
        <v>1328</v>
      </c>
      <c r="D520" s="28" t="s">
        <v>1046</v>
      </c>
      <c r="E520" s="29" t="s">
        <v>1047</v>
      </c>
      <c r="F520" s="227">
        <v>317606000</v>
      </c>
      <c r="G520" s="228">
        <v>166314000</v>
      </c>
      <c r="H520" s="228">
        <v>166314000</v>
      </c>
      <c r="I520" s="228">
        <v>483920000</v>
      </c>
      <c r="J520" s="228">
        <v>266057219</v>
      </c>
      <c r="K520" s="225" t="s">
        <v>112</v>
      </c>
      <c r="L520" s="228">
        <v>266057219</v>
      </c>
      <c r="M520" s="228">
        <v>26150000</v>
      </c>
      <c r="N520" s="228">
        <v>187607219</v>
      </c>
      <c r="O520" s="226">
        <v>0.54979999999999996</v>
      </c>
      <c r="P520" s="30">
        <f>356409000+85000000</f>
        <v>441409000</v>
      </c>
      <c r="Q520" s="183">
        <f t="shared" si="142"/>
        <v>-9.6307506190403916E-2</v>
      </c>
      <c r="R520" s="171">
        <f>356409000+85000000</f>
        <v>441409000</v>
      </c>
    </row>
    <row r="521" spans="1:18" s="177" customFormat="1">
      <c r="A521" s="79"/>
      <c r="B521" s="80"/>
      <c r="C521" s="79" t="s">
        <v>1328</v>
      </c>
      <c r="D521" s="28" t="s">
        <v>397</v>
      </c>
      <c r="E521" s="29" t="s">
        <v>1330</v>
      </c>
      <c r="F521" s="227">
        <v>752342000</v>
      </c>
      <c r="G521" s="228">
        <v>960000000</v>
      </c>
      <c r="H521" s="228">
        <v>960000000</v>
      </c>
      <c r="I521" s="228">
        <v>1712342000</v>
      </c>
      <c r="J521" s="228">
        <v>694296856</v>
      </c>
      <c r="K521" s="225" t="s">
        <v>112</v>
      </c>
      <c r="L521" s="228">
        <v>694296856</v>
      </c>
      <c r="M521" s="228">
        <v>90955920</v>
      </c>
      <c r="N521" s="228">
        <v>545735520</v>
      </c>
      <c r="O521" s="226">
        <v>0.40550000000000003</v>
      </c>
      <c r="P521" s="30"/>
      <c r="Q521" s="183" t="e">
        <f t="shared" si="142"/>
        <v>#DIV/0!</v>
      </c>
      <c r="R521" s="171"/>
    </row>
    <row r="522" spans="1:18" s="177" customFormat="1">
      <c r="A522" s="79"/>
      <c r="B522" s="80"/>
      <c r="C522" s="79" t="s">
        <v>1328</v>
      </c>
      <c r="D522" s="28" t="s">
        <v>419</v>
      </c>
      <c r="E522" s="29" t="s">
        <v>1221</v>
      </c>
      <c r="F522" s="227">
        <v>1475180000</v>
      </c>
      <c r="G522" s="228">
        <v>1172466636</v>
      </c>
      <c r="H522" s="228">
        <v>1172466636</v>
      </c>
      <c r="I522" s="228">
        <v>2647646636</v>
      </c>
      <c r="J522" s="228">
        <v>1468837000</v>
      </c>
      <c r="K522" s="225" t="s">
        <v>112</v>
      </c>
      <c r="L522" s="228">
        <v>1468836217</v>
      </c>
      <c r="M522" s="228">
        <v>319000000</v>
      </c>
      <c r="N522" s="228">
        <v>841469550</v>
      </c>
      <c r="O522" s="226">
        <v>0.55479999999999996</v>
      </c>
      <c r="P522" s="30">
        <v>2040000000</v>
      </c>
      <c r="Q522" s="183">
        <f t="shared" si="142"/>
        <v>-0.29786599803921571</v>
      </c>
      <c r="R522" s="171">
        <v>2040000000</v>
      </c>
    </row>
    <row r="523" spans="1:18" s="177" customFormat="1">
      <c r="A523" s="79"/>
      <c r="B523" s="80"/>
      <c r="C523" s="79" t="s">
        <v>1328</v>
      </c>
      <c r="D523" s="28" t="s">
        <v>393</v>
      </c>
      <c r="E523" s="29" t="s">
        <v>1216</v>
      </c>
      <c r="F523" s="227">
        <v>1259295000</v>
      </c>
      <c r="G523" s="228">
        <v>1034677754</v>
      </c>
      <c r="H523" s="228">
        <v>1034677754</v>
      </c>
      <c r="I523" s="228">
        <v>2293972754</v>
      </c>
      <c r="J523" s="228">
        <v>1270933454</v>
      </c>
      <c r="K523" s="228">
        <v>9773182</v>
      </c>
      <c r="L523" s="228">
        <v>1269068182</v>
      </c>
      <c r="M523" s="228">
        <v>9773182</v>
      </c>
      <c r="N523" s="228">
        <v>1269068182</v>
      </c>
      <c r="O523" s="226">
        <v>0.55320000000000003</v>
      </c>
      <c r="P523" s="30"/>
      <c r="Q523" s="183" t="e">
        <f t="shared" si="142"/>
        <v>#DIV/0!</v>
      </c>
      <c r="R523" s="171"/>
    </row>
    <row r="524" spans="1:18" s="177" customFormat="1">
      <c r="A524" s="79"/>
      <c r="B524" s="80"/>
      <c r="C524" s="79" t="s">
        <v>1328</v>
      </c>
      <c r="D524" s="28" t="s">
        <v>1331</v>
      </c>
      <c r="E524" s="29" t="s">
        <v>1332</v>
      </c>
      <c r="F524" s="264">
        <v>16332000</v>
      </c>
      <c r="G524" s="265" t="s">
        <v>48</v>
      </c>
      <c r="H524" s="265" t="s">
        <v>48</v>
      </c>
      <c r="I524" s="266">
        <v>16332000</v>
      </c>
      <c r="J524" s="265" t="s">
        <v>305</v>
      </c>
      <c r="K524" s="265" t="s">
        <v>112</v>
      </c>
      <c r="L524" s="265" t="s">
        <v>112</v>
      </c>
      <c r="M524" s="265" t="s">
        <v>113</v>
      </c>
      <c r="N524" s="265" t="s">
        <v>114</v>
      </c>
      <c r="O524" s="267">
        <v>0</v>
      </c>
      <c r="P524" s="30"/>
      <c r="Q524" s="183" t="e">
        <f t="shared" si="142"/>
        <v>#DIV/0!</v>
      </c>
      <c r="R524" s="171"/>
    </row>
    <row r="525" spans="1:18">
      <c r="A525" s="10" t="s">
        <v>1333</v>
      </c>
      <c r="B525" s="14" t="s">
        <v>1334</v>
      </c>
      <c r="C525" s="10" t="s">
        <v>1335</v>
      </c>
      <c r="D525" s="25"/>
      <c r="E525" s="9" t="s">
        <v>1336</v>
      </c>
      <c r="F525" s="215" t="s">
        <v>304</v>
      </c>
      <c r="G525" s="217" t="s">
        <v>48</v>
      </c>
      <c r="H525" s="217" t="s">
        <v>48</v>
      </c>
      <c r="I525" s="217" t="s">
        <v>304</v>
      </c>
      <c r="J525" s="217" t="s">
        <v>305</v>
      </c>
      <c r="K525" s="217" t="s">
        <v>112</v>
      </c>
      <c r="L525" s="217" t="s">
        <v>112</v>
      </c>
      <c r="M525" s="217" t="s">
        <v>113</v>
      </c>
      <c r="N525" s="217" t="s">
        <v>114</v>
      </c>
      <c r="O525" s="219">
        <v>0</v>
      </c>
      <c r="P525" s="8"/>
      <c r="Q525" s="183" t="e">
        <f t="shared" si="142"/>
        <v>#VALUE!</v>
      </c>
      <c r="R525" s="347"/>
    </row>
    <row r="526" spans="1:18">
      <c r="A526" s="94" t="s">
        <v>1337</v>
      </c>
      <c r="B526" s="16" t="s">
        <v>1338</v>
      </c>
      <c r="C526" s="12" t="s">
        <v>1339</v>
      </c>
      <c r="D526" s="24"/>
      <c r="E526" s="11" t="s">
        <v>1340</v>
      </c>
      <c r="F526" s="211">
        <v>120000000</v>
      </c>
      <c r="G526" s="212" t="s">
        <v>35</v>
      </c>
      <c r="H526" s="212" t="s">
        <v>35</v>
      </c>
      <c r="I526" s="213">
        <v>120000000</v>
      </c>
      <c r="J526" s="213">
        <v>117949706</v>
      </c>
      <c r="K526" s="212" t="s">
        <v>314</v>
      </c>
      <c r="L526" s="213">
        <v>50098286</v>
      </c>
      <c r="M526" s="213">
        <v>50013915</v>
      </c>
      <c r="N526" s="213">
        <v>50013915</v>
      </c>
      <c r="O526" s="214">
        <v>0.41749999999999998</v>
      </c>
      <c r="P526" s="13">
        <f t="shared" ref="P526" si="162">+P527</f>
        <v>150000000</v>
      </c>
      <c r="Q526" s="183">
        <f t="shared" si="142"/>
        <v>0.2</v>
      </c>
      <c r="R526" s="349">
        <f>+R527</f>
        <v>150000000</v>
      </c>
    </row>
    <row r="527" spans="1:18" s="176" customFormat="1">
      <c r="A527" s="10" t="s">
        <v>1341</v>
      </c>
      <c r="B527" s="14" t="s">
        <v>1342</v>
      </c>
      <c r="C527" s="10" t="s">
        <v>1343</v>
      </c>
      <c r="D527" s="25"/>
      <c r="E527" s="9" t="s">
        <v>1344</v>
      </c>
      <c r="F527" s="216">
        <v>120000000</v>
      </c>
      <c r="G527" s="217" t="s">
        <v>48</v>
      </c>
      <c r="H527" s="217" t="s">
        <v>48</v>
      </c>
      <c r="I527" s="218">
        <v>120000000</v>
      </c>
      <c r="J527" s="218">
        <v>117949706</v>
      </c>
      <c r="K527" s="217" t="s">
        <v>112</v>
      </c>
      <c r="L527" s="218">
        <v>50098286</v>
      </c>
      <c r="M527" s="218">
        <v>50013915</v>
      </c>
      <c r="N527" s="218">
        <v>50013915</v>
      </c>
      <c r="O527" s="219">
        <v>0.41749999999999998</v>
      </c>
      <c r="P527" s="8">
        <f t="shared" ref="P527" si="163">SUM(P528:P528)</f>
        <v>150000000</v>
      </c>
      <c r="Q527" s="183">
        <f t="shared" si="142"/>
        <v>0.2</v>
      </c>
      <c r="R527" s="347">
        <f>SUM(R528:R528)</f>
        <v>150000000</v>
      </c>
    </row>
    <row r="528" spans="1:18" s="177" customFormat="1">
      <c r="A528" s="79"/>
      <c r="B528" s="80"/>
      <c r="C528" s="79" t="s">
        <v>1343</v>
      </c>
      <c r="D528" s="28" t="s">
        <v>1022</v>
      </c>
      <c r="E528" s="29" t="s">
        <v>1023</v>
      </c>
      <c r="F528" s="227">
        <v>120000000</v>
      </c>
      <c r="G528" s="225" t="s">
        <v>48</v>
      </c>
      <c r="H528" s="225" t="s">
        <v>48</v>
      </c>
      <c r="I528" s="228">
        <v>120000000</v>
      </c>
      <c r="J528" s="228">
        <v>117949706</v>
      </c>
      <c r="K528" s="225" t="s">
        <v>112</v>
      </c>
      <c r="L528" s="228">
        <v>50098286</v>
      </c>
      <c r="M528" s="228">
        <v>50013915</v>
      </c>
      <c r="N528" s="228">
        <v>50013915</v>
      </c>
      <c r="O528" s="226">
        <v>0.41749999999999998</v>
      </c>
      <c r="P528" s="30">
        <v>150000000</v>
      </c>
      <c r="Q528" s="183">
        <f t="shared" si="142"/>
        <v>0.2</v>
      </c>
      <c r="R528" s="171">
        <v>150000000</v>
      </c>
    </row>
    <row r="529" spans="1:18" s="175" customFormat="1">
      <c r="A529" s="89" t="s">
        <v>1345</v>
      </c>
      <c r="B529" s="90" t="s">
        <v>989</v>
      </c>
      <c r="C529" s="91" t="s">
        <v>1346</v>
      </c>
      <c r="D529" s="92"/>
      <c r="E529" s="37" t="s">
        <v>1347</v>
      </c>
      <c r="F529" s="253">
        <v>85891864000</v>
      </c>
      <c r="G529" s="243">
        <v>14131594241</v>
      </c>
      <c r="H529" s="243">
        <v>16738150316</v>
      </c>
      <c r="I529" s="243">
        <v>102630014316</v>
      </c>
      <c r="J529" s="243">
        <v>86263257844</v>
      </c>
      <c r="K529" s="243">
        <v>3727832444</v>
      </c>
      <c r="L529" s="243">
        <v>82093121316</v>
      </c>
      <c r="M529" s="243">
        <v>8730226325</v>
      </c>
      <c r="N529" s="243">
        <v>59288388077</v>
      </c>
      <c r="O529" s="244">
        <v>0.79990000000000006</v>
      </c>
      <c r="P529" s="93">
        <f t="shared" ref="P529" si="164">+P530+P538+P548+P648+P662+P727+P735+P771</f>
        <v>119373780283.35001</v>
      </c>
      <c r="Q529" s="183">
        <f t="shared" si="142"/>
        <v>0.14026334700640614</v>
      </c>
      <c r="R529" s="354">
        <f>+R530+R538+R548+R648+R662+R727+R735+R771</f>
        <v>119373780283.35001</v>
      </c>
    </row>
    <row r="530" spans="1:18">
      <c r="A530" s="94" t="s">
        <v>1348</v>
      </c>
      <c r="B530" s="16" t="s">
        <v>1349</v>
      </c>
      <c r="C530" s="12" t="s">
        <v>1350</v>
      </c>
      <c r="D530" s="24"/>
      <c r="E530" s="11" t="s">
        <v>1351</v>
      </c>
      <c r="F530" s="211">
        <v>494519000</v>
      </c>
      <c r="G530" s="212" t="s">
        <v>35</v>
      </c>
      <c r="H530" s="213">
        <v>39192640</v>
      </c>
      <c r="I530" s="213">
        <v>533711640</v>
      </c>
      <c r="J530" s="213">
        <v>326936500</v>
      </c>
      <c r="K530" s="213">
        <v>894320</v>
      </c>
      <c r="L530" s="213">
        <v>282348587</v>
      </c>
      <c r="M530" s="213">
        <v>12826037</v>
      </c>
      <c r="N530" s="213">
        <v>59604022</v>
      </c>
      <c r="O530" s="214">
        <v>0.52900000000000003</v>
      </c>
      <c r="P530" s="13">
        <f t="shared" ref="P530" si="165">+P531</f>
        <v>579782909</v>
      </c>
      <c r="Q530" s="183">
        <f t="shared" si="142"/>
        <v>7.9462964990573745E-2</v>
      </c>
      <c r="R530" s="349">
        <f>+R531</f>
        <v>579782909</v>
      </c>
    </row>
    <row r="531" spans="1:18">
      <c r="A531" s="10" t="s">
        <v>1352</v>
      </c>
      <c r="B531" s="14" t="s">
        <v>1353</v>
      </c>
      <c r="C531" s="10" t="s">
        <v>1354</v>
      </c>
      <c r="D531" s="25"/>
      <c r="E531" s="9" t="s">
        <v>1355</v>
      </c>
      <c r="F531" s="216">
        <v>494519000</v>
      </c>
      <c r="G531" s="217" t="s">
        <v>48</v>
      </c>
      <c r="H531" s="218">
        <v>39192640</v>
      </c>
      <c r="I531" s="218">
        <v>533711640</v>
      </c>
      <c r="J531" s="218">
        <v>326936500</v>
      </c>
      <c r="K531" s="218">
        <v>894320</v>
      </c>
      <c r="L531" s="218">
        <v>282348587</v>
      </c>
      <c r="M531" s="218">
        <v>12826037</v>
      </c>
      <c r="N531" s="218">
        <v>59604022</v>
      </c>
      <c r="O531" s="219">
        <v>0.52900000000000003</v>
      </c>
      <c r="P531" s="8">
        <f t="shared" ref="P531" si="166">SUM(P532:P537)</f>
        <v>579782909</v>
      </c>
      <c r="Q531" s="183">
        <f t="shared" si="142"/>
        <v>7.9462964990573745E-2</v>
      </c>
      <c r="R531" s="347">
        <f>SUM(R532:R537)</f>
        <v>579782909</v>
      </c>
    </row>
    <row r="532" spans="1:18" s="177" customFormat="1">
      <c r="A532" s="79"/>
      <c r="B532" s="80"/>
      <c r="C532" s="79" t="s">
        <v>1354</v>
      </c>
      <c r="D532" s="28" t="s">
        <v>1356</v>
      </c>
      <c r="E532" s="29" t="s">
        <v>1357</v>
      </c>
      <c r="F532" s="227">
        <v>25000000</v>
      </c>
      <c r="G532" s="225" t="s">
        <v>48</v>
      </c>
      <c r="H532" s="225" t="s">
        <v>48</v>
      </c>
      <c r="I532" s="228">
        <v>25000000</v>
      </c>
      <c r="J532" s="225" t="s">
        <v>305</v>
      </c>
      <c r="K532" s="225" t="s">
        <v>112</v>
      </c>
      <c r="L532" s="225" t="s">
        <v>112</v>
      </c>
      <c r="M532" s="225" t="s">
        <v>113</v>
      </c>
      <c r="N532" s="225" t="s">
        <v>114</v>
      </c>
      <c r="O532" s="226">
        <v>0</v>
      </c>
      <c r="P532" s="30"/>
      <c r="Q532" s="183" t="e">
        <f t="shared" si="142"/>
        <v>#DIV/0!</v>
      </c>
      <c r="R532" s="171"/>
    </row>
    <row r="533" spans="1:18" s="177" customFormat="1">
      <c r="A533" s="79"/>
      <c r="B533" s="80"/>
      <c r="C533" s="79" t="s">
        <v>1354</v>
      </c>
      <c r="D533" s="28" t="s">
        <v>409</v>
      </c>
      <c r="E533" s="29" t="s">
        <v>1220</v>
      </c>
      <c r="F533" s="227">
        <v>12813000</v>
      </c>
      <c r="G533" s="225" t="s">
        <v>48</v>
      </c>
      <c r="H533" s="225" t="s">
        <v>48</v>
      </c>
      <c r="I533" s="228">
        <v>12813000</v>
      </c>
      <c r="J533" s="228">
        <v>2000000</v>
      </c>
      <c r="K533" s="225" t="s">
        <v>112</v>
      </c>
      <c r="L533" s="228">
        <v>2000000</v>
      </c>
      <c r="M533" s="225" t="s">
        <v>113</v>
      </c>
      <c r="N533" s="228">
        <v>2000000</v>
      </c>
      <c r="O533" s="226">
        <v>0.15609999999999999</v>
      </c>
      <c r="P533" s="30">
        <v>10000000</v>
      </c>
      <c r="Q533" s="183">
        <f t="shared" si="142"/>
        <v>-0.28129999999999999</v>
      </c>
      <c r="R533" s="171">
        <v>10000000</v>
      </c>
    </row>
    <row r="534" spans="1:18" s="177" customFormat="1">
      <c r="A534" s="79"/>
      <c r="B534" s="80"/>
      <c r="C534" s="79" t="s">
        <v>1354</v>
      </c>
      <c r="D534" s="28" t="s">
        <v>401</v>
      </c>
      <c r="E534" s="29" t="s">
        <v>1358</v>
      </c>
      <c r="F534" s="227">
        <v>4294000</v>
      </c>
      <c r="G534" s="225" t="s">
        <v>48</v>
      </c>
      <c r="H534" s="225" t="s">
        <v>48</v>
      </c>
      <c r="I534" s="228">
        <v>4294000</v>
      </c>
      <c r="J534" s="228">
        <v>4294000</v>
      </c>
      <c r="K534" s="228">
        <v>894320</v>
      </c>
      <c r="L534" s="228">
        <v>1788640</v>
      </c>
      <c r="M534" s="225" t="s">
        <v>113</v>
      </c>
      <c r="N534" s="225" t="s">
        <v>114</v>
      </c>
      <c r="O534" s="226">
        <v>0.41649999999999998</v>
      </c>
      <c r="P534" s="30">
        <v>4616909</v>
      </c>
      <c r="Q534" s="183">
        <f t="shared" si="142"/>
        <v>6.9940516479748679E-2</v>
      </c>
      <c r="R534" s="171">
        <v>4616909</v>
      </c>
    </row>
    <row r="535" spans="1:18" s="177" customFormat="1">
      <c r="A535" s="79"/>
      <c r="B535" s="80"/>
      <c r="C535" s="79" t="s">
        <v>1354</v>
      </c>
      <c r="D535" s="28" t="s">
        <v>419</v>
      </c>
      <c r="E535" s="29" t="s">
        <v>1221</v>
      </c>
      <c r="F535" s="227">
        <v>9000000</v>
      </c>
      <c r="G535" s="225" t="s">
        <v>48</v>
      </c>
      <c r="H535" s="228">
        <v>-210000</v>
      </c>
      <c r="I535" s="228">
        <v>8790000</v>
      </c>
      <c r="J535" s="225" t="s">
        <v>305</v>
      </c>
      <c r="K535" s="225" t="s">
        <v>112</v>
      </c>
      <c r="L535" s="225" t="s">
        <v>112</v>
      </c>
      <c r="M535" s="225" t="s">
        <v>113</v>
      </c>
      <c r="N535" s="225" t="s">
        <v>114</v>
      </c>
      <c r="O535" s="226">
        <v>0</v>
      </c>
      <c r="P535" s="30">
        <v>2132000</v>
      </c>
      <c r="Q535" s="183">
        <f t="shared" si="142"/>
        <v>-3.1228893058161349</v>
      </c>
      <c r="R535" s="171">
        <v>2132000</v>
      </c>
    </row>
    <row r="536" spans="1:18" s="177" customFormat="1">
      <c r="A536" s="79"/>
      <c r="B536" s="80"/>
      <c r="C536" s="79" t="s">
        <v>1354</v>
      </c>
      <c r="D536" s="28" t="s">
        <v>1001</v>
      </c>
      <c r="E536" s="29" t="s">
        <v>1314</v>
      </c>
      <c r="F536" s="227">
        <v>433412000</v>
      </c>
      <c r="G536" s="225" t="s">
        <v>48</v>
      </c>
      <c r="H536" s="225" t="s">
        <v>48</v>
      </c>
      <c r="I536" s="228">
        <v>433412000</v>
      </c>
      <c r="J536" s="228">
        <v>320642500</v>
      </c>
      <c r="K536" s="225" t="s">
        <v>112</v>
      </c>
      <c r="L536" s="228">
        <v>278559947</v>
      </c>
      <c r="M536" s="228">
        <v>12826037</v>
      </c>
      <c r="N536" s="228">
        <v>57604022</v>
      </c>
      <c r="O536" s="226">
        <v>0.64270000000000005</v>
      </c>
      <c r="P536" s="30">
        <f>366000000+150000000</f>
        <v>516000000</v>
      </c>
      <c r="Q536" s="183">
        <f t="shared" ref="Q536:Q599" si="167">+(P536-I536)/P536</f>
        <v>0.16005426356589147</v>
      </c>
      <c r="R536" s="171">
        <f>366000000+150000000</f>
        <v>516000000</v>
      </c>
    </row>
    <row r="537" spans="1:18" s="177" customFormat="1">
      <c r="A537" s="79"/>
      <c r="B537" s="80"/>
      <c r="C537" s="79" t="s">
        <v>1354</v>
      </c>
      <c r="D537" s="28" t="s">
        <v>393</v>
      </c>
      <c r="E537" s="29" t="s">
        <v>1216</v>
      </c>
      <c r="F537" s="227">
        <v>10000000</v>
      </c>
      <c r="G537" s="225" t="s">
        <v>48</v>
      </c>
      <c r="H537" s="228">
        <v>39402640</v>
      </c>
      <c r="I537" s="228">
        <v>49402640</v>
      </c>
      <c r="J537" s="225" t="s">
        <v>305</v>
      </c>
      <c r="K537" s="225" t="s">
        <v>112</v>
      </c>
      <c r="L537" s="225" t="s">
        <v>112</v>
      </c>
      <c r="M537" s="225" t="s">
        <v>113</v>
      </c>
      <c r="N537" s="225" t="s">
        <v>114</v>
      </c>
      <c r="O537" s="226">
        <v>0</v>
      </c>
      <c r="P537" s="30">
        <v>47034000</v>
      </c>
      <c r="Q537" s="183">
        <f t="shared" si="167"/>
        <v>-5.0360164987030658E-2</v>
      </c>
      <c r="R537" s="171">
        <v>47034000</v>
      </c>
    </row>
    <row r="538" spans="1:18">
      <c r="A538" s="94" t="s">
        <v>1359</v>
      </c>
      <c r="B538" s="16" t="s">
        <v>1360</v>
      </c>
      <c r="C538" s="12" t="s">
        <v>1361</v>
      </c>
      <c r="D538" s="24"/>
      <c r="E538" s="11" t="s">
        <v>1362</v>
      </c>
      <c r="F538" s="211">
        <v>1354103000</v>
      </c>
      <c r="G538" s="213">
        <v>264748461</v>
      </c>
      <c r="H538" s="213">
        <v>799047309</v>
      </c>
      <c r="I538" s="213">
        <v>2153150309</v>
      </c>
      <c r="J538" s="213">
        <v>1831419210</v>
      </c>
      <c r="K538" s="212" t="s">
        <v>314</v>
      </c>
      <c r="L538" s="213">
        <v>1831419210</v>
      </c>
      <c r="M538" s="213">
        <v>200699360</v>
      </c>
      <c r="N538" s="213">
        <v>1349925838</v>
      </c>
      <c r="O538" s="214">
        <v>0.85060000000000002</v>
      </c>
      <c r="P538" s="13">
        <f t="shared" ref="P538" si="168">+P539+P540+P544+P545</f>
        <v>2347643815.0700002</v>
      </c>
      <c r="Q538" s="183">
        <f t="shared" si="167"/>
        <v>8.2846258372546569E-2</v>
      </c>
      <c r="R538" s="349">
        <f>+R539+R540+R544+R545</f>
        <v>2347643815.0700002</v>
      </c>
    </row>
    <row r="539" spans="1:18" s="176" customFormat="1">
      <c r="A539" s="10" t="s">
        <v>1363</v>
      </c>
      <c r="B539" s="14" t="s">
        <v>989</v>
      </c>
      <c r="C539" s="10" t="s">
        <v>1364</v>
      </c>
      <c r="D539" s="25"/>
      <c r="E539" s="9" t="s">
        <v>1365</v>
      </c>
      <c r="F539" s="215" t="s">
        <v>304</v>
      </c>
      <c r="G539" s="217" t="s">
        <v>48</v>
      </c>
      <c r="H539" s="217" t="s">
        <v>48</v>
      </c>
      <c r="I539" s="217" t="s">
        <v>304</v>
      </c>
      <c r="J539" s="217" t="s">
        <v>305</v>
      </c>
      <c r="K539" s="217" t="s">
        <v>112</v>
      </c>
      <c r="L539" s="217" t="s">
        <v>112</v>
      </c>
      <c r="M539" s="217" t="s">
        <v>113</v>
      </c>
      <c r="N539" s="217" t="s">
        <v>114</v>
      </c>
      <c r="O539" s="219">
        <v>0</v>
      </c>
      <c r="P539" s="8"/>
      <c r="Q539" s="183" t="e">
        <f t="shared" si="167"/>
        <v>#VALUE!</v>
      </c>
      <c r="R539" s="347"/>
    </row>
    <row r="540" spans="1:18">
      <c r="A540" s="10" t="s">
        <v>1366</v>
      </c>
      <c r="B540" s="14" t="s">
        <v>1367</v>
      </c>
      <c r="C540" s="10" t="s">
        <v>1368</v>
      </c>
      <c r="D540" s="25"/>
      <c r="E540" s="9" t="s">
        <v>1369</v>
      </c>
      <c r="F540" s="216">
        <v>2550000</v>
      </c>
      <c r="G540" s="217" t="s">
        <v>48</v>
      </c>
      <c r="H540" s="217" t="s">
        <v>48</v>
      </c>
      <c r="I540" s="218">
        <v>2550000</v>
      </c>
      <c r="J540" s="218">
        <v>702554</v>
      </c>
      <c r="K540" s="217" t="s">
        <v>112</v>
      </c>
      <c r="L540" s="218">
        <v>702554</v>
      </c>
      <c r="M540" s="217" t="s">
        <v>113</v>
      </c>
      <c r="N540" s="218">
        <v>702554</v>
      </c>
      <c r="O540" s="219">
        <v>0.27550000000000002</v>
      </c>
      <c r="P540" s="8">
        <f t="shared" ref="P540" si="169">SUM(P541:P543)</f>
        <v>14226393</v>
      </c>
      <c r="Q540" s="183">
        <f t="shared" si="167"/>
        <v>0.82075568979431401</v>
      </c>
      <c r="R540" s="347">
        <f>SUM(R541:R543)</f>
        <v>14226393</v>
      </c>
    </row>
    <row r="541" spans="1:18" s="177" customFormat="1">
      <c r="A541" s="79"/>
      <c r="B541" s="80"/>
      <c r="C541" s="79" t="s">
        <v>1368</v>
      </c>
      <c r="D541" s="28" t="s">
        <v>346</v>
      </c>
      <c r="E541" s="29" t="s">
        <v>347</v>
      </c>
      <c r="F541" s="264">
        <v>350000</v>
      </c>
      <c r="G541" s="265" t="s">
        <v>48</v>
      </c>
      <c r="H541" s="265" t="s">
        <v>48</v>
      </c>
      <c r="I541" s="266">
        <v>350000</v>
      </c>
      <c r="J541" s="265" t="s">
        <v>305</v>
      </c>
      <c r="K541" s="265" t="s">
        <v>112</v>
      </c>
      <c r="L541" s="265" t="s">
        <v>112</v>
      </c>
      <c r="M541" s="265" t="s">
        <v>113</v>
      </c>
      <c r="N541" s="265" t="s">
        <v>114</v>
      </c>
      <c r="O541" s="267">
        <v>0</v>
      </c>
      <c r="P541" s="30">
        <v>2713710</v>
      </c>
      <c r="Q541" s="183">
        <f t="shared" si="167"/>
        <v>0.87102527536103713</v>
      </c>
      <c r="R541" s="171">
        <v>2713710</v>
      </c>
    </row>
    <row r="542" spans="1:18" s="177" customFormat="1">
      <c r="A542" s="79"/>
      <c r="B542" s="80"/>
      <c r="C542" s="79" t="s">
        <v>1368</v>
      </c>
      <c r="D542" s="28" t="s">
        <v>1370</v>
      </c>
      <c r="E542" s="29" t="s">
        <v>1371</v>
      </c>
      <c r="F542" s="227">
        <v>700000</v>
      </c>
      <c r="G542" s="225" t="s">
        <v>48</v>
      </c>
      <c r="H542" s="225" t="s">
        <v>48</v>
      </c>
      <c r="I542" s="228">
        <v>700000</v>
      </c>
      <c r="J542" s="228">
        <v>357001</v>
      </c>
      <c r="K542" s="225" t="s">
        <v>112</v>
      </c>
      <c r="L542" s="228">
        <v>357001</v>
      </c>
      <c r="M542" s="225" t="s">
        <v>113</v>
      </c>
      <c r="N542" s="228">
        <v>357001</v>
      </c>
      <c r="O542" s="226">
        <v>0.51</v>
      </c>
      <c r="P542" s="30"/>
      <c r="Q542" s="183" t="e">
        <f t="shared" si="167"/>
        <v>#DIV/0!</v>
      </c>
      <c r="R542" s="171"/>
    </row>
    <row r="543" spans="1:18" s="177" customFormat="1">
      <c r="A543" s="79"/>
      <c r="B543" s="80"/>
      <c r="C543" s="79" t="s">
        <v>1368</v>
      </c>
      <c r="D543" s="28" t="s">
        <v>1226</v>
      </c>
      <c r="E543" s="29" t="s">
        <v>1183</v>
      </c>
      <c r="F543" s="227">
        <v>1500000</v>
      </c>
      <c r="G543" s="225" t="s">
        <v>48</v>
      </c>
      <c r="H543" s="225" t="s">
        <v>48</v>
      </c>
      <c r="I543" s="228">
        <v>1500000</v>
      </c>
      <c r="J543" s="228">
        <v>345553</v>
      </c>
      <c r="K543" s="225" t="s">
        <v>112</v>
      </c>
      <c r="L543" s="228">
        <v>345553</v>
      </c>
      <c r="M543" s="225" t="s">
        <v>113</v>
      </c>
      <c r="N543" s="228">
        <v>345553</v>
      </c>
      <c r="O543" s="226">
        <v>0.23039999999999999</v>
      </c>
      <c r="P543" s="30">
        <v>11512683</v>
      </c>
      <c r="Q543" s="183">
        <f t="shared" si="167"/>
        <v>0.86970891146746587</v>
      </c>
      <c r="R543" s="171">
        <v>11512683</v>
      </c>
    </row>
    <row r="544" spans="1:18" s="176" customFormat="1">
      <c r="A544" s="10" t="s">
        <v>1372</v>
      </c>
      <c r="B544" s="14" t="s">
        <v>1373</v>
      </c>
      <c r="C544" s="10" t="s">
        <v>1374</v>
      </c>
      <c r="D544" s="25"/>
      <c r="E544" s="9" t="s">
        <v>1375</v>
      </c>
      <c r="F544" s="215" t="s">
        <v>304</v>
      </c>
      <c r="G544" s="217" t="s">
        <v>48</v>
      </c>
      <c r="H544" s="217" t="s">
        <v>48</v>
      </c>
      <c r="I544" s="217" t="s">
        <v>304</v>
      </c>
      <c r="J544" s="217" t="s">
        <v>305</v>
      </c>
      <c r="K544" s="217" t="s">
        <v>112</v>
      </c>
      <c r="L544" s="217" t="s">
        <v>112</v>
      </c>
      <c r="M544" s="217" t="s">
        <v>113</v>
      </c>
      <c r="N544" s="217" t="s">
        <v>114</v>
      </c>
      <c r="O544" s="219">
        <v>0</v>
      </c>
      <c r="P544" s="8"/>
      <c r="Q544" s="183" t="e">
        <f t="shared" si="167"/>
        <v>#VALUE!</v>
      </c>
      <c r="R544" s="347"/>
    </row>
    <row r="545" spans="1:18">
      <c r="A545" s="10" t="s">
        <v>1376</v>
      </c>
      <c r="B545" s="14" t="s">
        <v>1377</v>
      </c>
      <c r="C545" s="10" t="s">
        <v>1378</v>
      </c>
      <c r="D545" s="25"/>
      <c r="E545" s="9" t="s">
        <v>1379</v>
      </c>
      <c r="F545" s="216">
        <v>1351553000</v>
      </c>
      <c r="G545" s="218">
        <v>264748461</v>
      </c>
      <c r="H545" s="218">
        <v>799047309</v>
      </c>
      <c r="I545" s="218">
        <v>2150600309</v>
      </c>
      <c r="J545" s="218">
        <v>1830716656</v>
      </c>
      <c r="K545" s="217" t="s">
        <v>112</v>
      </c>
      <c r="L545" s="218">
        <v>1830716656</v>
      </c>
      <c r="M545" s="218">
        <v>200699360</v>
      </c>
      <c r="N545" s="218">
        <v>1349223284</v>
      </c>
      <c r="O545" s="219">
        <v>0.85129999999999995</v>
      </c>
      <c r="P545" s="8">
        <f t="shared" ref="P545" si="170">SUM(P546:P547)</f>
        <v>2333417422.0700002</v>
      </c>
      <c r="Q545" s="183">
        <f t="shared" si="167"/>
        <v>7.8347367830922041E-2</v>
      </c>
      <c r="R545" s="347">
        <f>SUM(R546:R547)</f>
        <v>2333417422.0700002</v>
      </c>
    </row>
    <row r="546" spans="1:18" s="177" customFormat="1">
      <c r="A546" s="79"/>
      <c r="B546" s="80"/>
      <c r="C546" s="79" t="s">
        <v>1378</v>
      </c>
      <c r="D546" s="28" t="s">
        <v>1380</v>
      </c>
      <c r="E546" s="29" t="s">
        <v>1381</v>
      </c>
      <c r="F546" s="227">
        <v>694041000</v>
      </c>
      <c r="G546" s="228">
        <v>242047485</v>
      </c>
      <c r="H546" s="228">
        <v>224000139</v>
      </c>
      <c r="I546" s="228">
        <v>918041139</v>
      </c>
      <c r="J546" s="228">
        <v>673391583</v>
      </c>
      <c r="K546" s="225" t="s">
        <v>112</v>
      </c>
      <c r="L546" s="228">
        <v>673391583</v>
      </c>
      <c r="M546" s="228">
        <v>74821287</v>
      </c>
      <c r="N546" s="228">
        <v>578116638</v>
      </c>
      <c r="O546" s="226">
        <v>0.73350000000000004</v>
      </c>
      <c r="P546" s="30">
        <v>946691106.16999996</v>
      </c>
      <c r="Q546" s="183">
        <f t="shared" si="167"/>
        <v>3.0263268539522121E-2</v>
      </c>
      <c r="R546" s="171">
        <v>946691106.16999996</v>
      </c>
    </row>
    <row r="547" spans="1:18" s="177" customFormat="1">
      <c r="A547" s="79"/>
      <c r="B547" s="80"/>
      <c r="C547" s="79" t="s">
        <v>1378</v>
      </c>
      <c r="D547" s="28" t="s">
        <v>1382</v>
      </c>
      <c r="E547" s="29" t="s">
        <v>1383</v>
      </c>
      <c r="F547" s="227">
        <v>657512000</v>
      </c>
      <c r="G547" s="228">
        <v>22700976</v>
      </c>
      <c r="H547" s="228">
        <v>575047170</v>
      </c>
      <c r="I547" s="228">
        <v>1232559170</v>
      </c>
      <c r="J547" s="228">
        <v>1157325073</v>
      </c>
      <c r="K547" s="225" t="s">
        <v>112</v>
      </c>
      <c r="L547" s="228">
        <v>1157325073</v>
      </c>
      <c r="M547" s="228">
        <v>125878073</v>
      </c>
      <c r="N547" s="228">
        <v>771106646</v>
      </c>
      <c r="O547" s="226">
        <v>0.93899999999999995</v>
      </c>
      <c r="P547" s="30">
        <f>878967366.9+507758949</f>
        <v>1386726315.9000001</v>
      </c>
      <c r="Q547" s="183">
        <f t="shared" si="167"/>
        <v>0.11117344794884344</v>
      </c>
      <c r="R547" s="171">
        <f>878967366.9+507758949</f>
        <v>1386726315.9000001</v>
      </c>
    </row>
    <row r="548" spans="1:18">
      <c r="A548" s="94" t="s">
        <v>1384</v>
      </c>
      <c r="B548" s="16" t="s">
        <v>1385</v>
      </c>
      <c r="C548" s="12" t="s">
        <v>1386</v>
      </c>
      <c r="D548" s="24"/>
      <c r="E548" s="11" t="s">
        <v>1387</v>
      </c>
      <c r="F548" s="211">
        <v>54165971000</v>
      </c>
      <c r="G548" s="213">
        <v>4423009232</v>
      </c>
      <c r="H548" s="213">
        <v>6151497701</v>
      </c>
      <c r="I548" s="213">
        <v>60317468701</v>
      </c>
      <c r="J548" s="213">
        <v>54698640845</v>
      </c>
      <c r="K548" s="213">
        <v>929760810</v>
      </c>
      <c r="L548" s="213">
        <v>51945104267</v>
      </c>
      <c r="M548" s="213">
        <v>4032644066</v>
      </c>
      <c r="N548" s="213">
        <v>38475589869</v>
      </c>
      <c r="O548" s="214">
        <v>0.86119999999999997</v>
      </c>
      <c r="P548" s="13">
        <f t="shared" ref="P548" si="171">+P549+P627+P630</f>
        <v>64144169917.280006</v>
      </c>
      <c r="Q548" s="183">
        <f t="shared" si="167"/>
        <v>5.9657818024847785E-2</v>
      </c>
      <c r="R548" s="349">
        <f>+R549+R627+R630</f>
        <v>64144169917.280006</v>
      </c>
    </row>
    <row r="549" spans="1:18">
      <c r="A549" s="72" t="s">
        <v>1388</v>
      </c>
      <c r="B549" s="73" t="s">
        <v>1385</v>
      </c>
      <c r="C549" s="74" t="s">
        <v>1389</v>
      </c>
      <c r="D549" s="75"/>
      <c r="E549" s="20" t="s">
        <v>1390</v>
      </c>
      <c r="F549" s="206">
        <v>53634312000</v>
      </c>
      <c r="G549" s="208">
        <v>4423009232</v>
      </c>
      <c r="H549" s="208">
        <v>6116438381</v>
      </c>
      <c r="I549" s="208">
        <v>59750750381</v>
      </c>
      <c r="J549" s="208">
        <v>54339604267</v>
      </c>
      <c r="K549" s="208">
        <v>929760810</v>
      </c>
      <c r="L549" s="208">
        <v>51589148689</v>
      </c>
      <c r="M549" s="208">
        <v>3986935975</v>
      </c>
      <c r="N549" s="208">
        <v>38245161725</v>
      </c>
      <c r="O549" s="209">
        <v>0.86339999999999995</v>
      </c>
      <c r="P549" s="76">
        <f t="shared" ref="P549" si="172">+P550+P621</f>
        <v>63118487507.280006</v>
      </c>
      <c r="Q549" s="183">
        <f t="shared" si="167"/>
        <v>5.3355795730871652E-2</v>
      </c>
      <c r="R549" s="345">
        <f>+R550+R621</f>
        <v>63118487507.280006</v>
      </c>
    </row>
    <row r="550" spans="1:18" s="177" customFormat="1">
      <c r="A550" s="39" t="s">
        <v>1391</v>
      </c>
      <c r="B550" s="95" t="s">
        <v>989</v>
      </c>
      <c r="C550" s="96" t="s">
        <v>1392</v>
      </c>
      <c r="D550" s="38"/>
      <c r="E550" s="39" t="s">
        <v>1393</v>
      </c>
      <c r="F550" s="249">
        <v>51469670000</v>
      </c>
      <c r="G550" s="251">
        <v>3563664276</v>
      </c>
      <c r="H550" s="251">
        <v>5257093425</v>
      </c>
      <c r="I550" s="251">
        <v>56726763425</v>
      </c>
      <c r="J550" s="251">
        <v>51329679259</v>
      </c>
      <c r="K550" s="251">
        <v>251302465</v>
      </c>
      <c r="L550" s="251">
        <v>48852290072</v>
      </c>
      <c r="M550" s="251">
        <v>3724372132</v>
      </c>
      <c r="N550" s="251">
        <v>36250382356</v>
      </c>
      <c r="O550" s="252">
        <v>0.86119999999999997</v>
      </c>
      <c r="P550" s="97">
        <f t="shared" ref="P550" si="173">+P551+P559+P561+P563+P565+P567+P569+P571+P586+P601+P604+P608+P610+P616+P618</f>
        <v>58887390811.280006</v>
      </c>
      <c r="Q550" s="183">
        <f t="shared" si="167"/>
        <v>3.6690832392358833E-2</v>
      </c>
      <c r="R550" s="355">
        <f>+R551+R559+R561+R563+R565+R567+R569+R571+R586+R601+R604+R608+R610+R616+R618</f>
        <v>58887390811.280006</v>
      </c>
    </row>
    <row r="551" spans="1:18">
      <c r="A551" s="10"/>
      <c r="B551" s="14" t="s">
        <v>1394</v>
      </c>
      <c r="C551" s="10" t="s">
        <v>1395</v>
      </c>
      <c r="D551" s="25"/>
      <c r="E551" s="9" t="s">
        <v>1396</v>
      </c>
      <c r="F551" s="216">
        <v>2467967000</v>
      </c>
      <c r="G551" s="217" t="s">
        <v>48</v>
      </c>
      <c r="H551" s="217" t="s">
        <v>48</v>
      </c>
      <c r="I551" s="218">
        <v>2467967000</v>
      </c>
      <c r="J551" s="218">
        <v>2076398000</v>
      </c>
      <c r="K551" s="218">
        <v>259077000</v>
      </c>
      <c r="L551" s="218">
        <v>990756000</v>
      </c>
      <c r="M551" s="218">
        <v>165126000</v>
      </c>
      <c r="N551" s="218">
        <v>828477000</v>
      </c>
      <c r="O551" s="219">
        <v>0.40139999999999998</v>
      </c>
      <c r="P551" s="8">
        <f t="shared" ref="P551" si="174">SUM(P552:P558)</f>
        <v>3117560680</v>
      </c>
      <c r="Q551" s="183">
        <f t="shared" si="167"/>
        <v>0.20836601005629823</v>
      </c>
      <c r="R551" s="347">
        <f>SUM(R552:R558)</f>
        <v>3117560680</v>
      </c>
    </row>
    <row r="552" spans="1:18" s="177" customFormat="1">
      <c r="A552" s="79"/>
      <c r="B552" s="80"/>
      <c r="C552" s="79" t="s">
        <v>1395</v>
      </c>
      <c r="D552" s="28" t="s">
        <v>1022</v>
      </c>
      <c r="E552" s="29" t="s">
        <v>1023</v>
      </c>
      <c r="F552" s="227">
        <v>35208000</v>
      </c>
      <c r="G552" s="225" t="s">
        <v>48</v>
      </c>
      <c r="H552" s="225" t="s">
        <v>48</v>
      </c>
      <c r="I552" s="228">
        <v>35208000</v>
      </c>
      <c r="J552" s="228">
        <v>17082000</v>
      </c>
      <c r="K552" s="228">
        <v>17082000</v>
      </c>
      <c r="L552" s="228">
        <v>17082000</v>
      </c>
      <c r="M552" s="228">
        <v>17082000</v>
      </c>
      <c r="N552" s="228">
        <v>17082000</v>
      </c>
      <c r="O552" s="226">
        <v>0.48520000000000002</v>
      </c>
      <c r="P552" s="30">
        <v>50000000</v>
      </c>
      <c r="Q552" s="183">
        <f t="shared" si="167"/>
        <v>0.29583999999999999</v>
      </c>
      <c r="R552" s="171">
        <v>50000000</v>
      </c>
    </row>
    <row r="553" spans="1:18" s="177" customFormat="1">
      <c r="A553" s="79"/>
      <c r="B553" s="80"/>
      <c r="C553" s="79" t="s">
        <v>1395</v>
      </c>
      <c r="D553" s="28" t="s">
        <v>393</v>
      </c>
      <c r="E553" s="29" t="s">
        <v>1216</v>
      </c>
      <c r="F553" s="227">
        <v>809483000</v>
      </c>
      <c r="G553" s="225" t="s">
        <v>48</v>
      </c>
      <c r="H553" s="225" t="s">
        <v>48</v>
      </c>
      <c r="I553" s="228">
        <v>809483000</v>
      </c>
      <c r="J553" s="228">
        <v>809483000</v>
      </c>
      <c r="K553" s="225" t="s">
        <v>112</v>
      </c>
      <c r="L553" s="225" t="s">
        <v>112</v>
      </c>
      <c r="M553" s="225" t="s">
        <v>113</v>
      </c>
      <c r="N553" s="225" t="s">
        <v>114</v>
      </c>
      <c r="O553" s="226">
        <v>0</v>
      </c>
      <c r="P553" s="30">
        <v>846071632</v>
      </c>
      <c r="Q553" s="183">
        <f t="shared" si="167"/>
        <v>4.3245312354356302E-2</v>
      </c>
      <c r="R553" s="171">
        <v>846071632</v>
      </c>
    </row>
    <row r="554" spans="1:18" s="177" customFormat="1">
      <c r="A554" s="79"/>
      <c r="B554" s="80"/>
      <c r="C554" s="79" t="s">
        <v>1395</v>
      </c>
      <c r="D554" s="28" t="s">
        <v>397</v>
      </c>
      <c r="E554" s="29" t="s">
        <v>1217</v>
      </c>
      <c r="F554" s="227">
        <v>418531000</v>
      </c>
      <c r="G554" s="225" t="s">
        <v>48</v>
      </c>
      <c r="H554" s="225" t="s">
        <v>48</v>
      </c>
      <c r="I554" s="228">
        <v>418531000</v>
      </c>
      <c r="J554" s="228">
        <v>418509000</v>
      </c>
      <c r="K554" s="228">
        <v>162279000</v>
      </c>
      <c r="L554" s="228">
        <v>418509000</v>
      </c>
      <c r="M554" s="225" t="s">
        <v>113</v>
      </c>
      <c r="N554" s="228">
        <v>256230000</v>
      </c>
      <c r="O554" s="226">
        <v>0.99990000000000001</v>
      </c>
      <c r="P554" s="30">
        <v>654650568</v>
      </c>
      <c r="Q554" s="183">
        <f t="shared" si="167"/>
        <v>0.36068030723834948</v>
      </c>
      <c r="R554" s="171">
        <v>654650568</v>
      </c>
    </row>
    <row r="555" spans="1:18" s="177" customFormat="1">
      <c r="A555" s="79"/>
      <c r="B555" s="80"/>
      <c r="C555" s="79" t="s">
        <v>1395</v>
      </c>
      <c r="D555" s="28" t="s">
        <v>401</v>
      </c>
      <c r="E555" s="29" t="s">
        <v>1218</v>
      </c>
      <c r="F555" s="227">
        <v>497608000</v>
      </c>
      <c r="G555" s="225" t="s">
        <v>48</v>
      </c>
      <c r="H555" s="225" t="s">
        <v>48</v>
      </c>
      <c r="I555" s="228">
        <v>497608000</v>
      </c>
      <c r="J555" s="228">
        <v>495378000</v>
      </c>
      <c r="K555" s="228">
        <v>-14235000</v>
      </c>
      <c r="L555" s="228">
        <v>219219000</v>
      </c>
      <c r="M555" s="225" t="s">
        <v>113</v>
      </c>
      <c r="N555" s="228">
        <v>219219000</v>
      </c>
      <c r="O555" s="226">
        <v>0.4405</v>
      </c>
      <c r="P555" s="30">
        <v>605955480</v>
      </c>
      <c r="Q555" s="183">
        <f t="shared" si="167"/>
        <v>0.17880435704616451</v>
      </c>
      <c r="R555" s="171">
        <v>605955480</v>
      </c>
    </row>
    <row r="556" spans="1:18" s="177" customFormat="1">
      <c r="A556" s="79"/>
      <c r="B556" s="80"/>
      <c r="C556" s="79" t="s">
        <v>1395</v>
      </c>
      <c r="D556" s="28" t="s">
        <v>405</v>
      </c>
      <c r="E556" s="29" t="s">
        <v>1219</v>
      </c>
      <c r="F556" s="227">
        <v>383768000</v>
      </c>
      <c r="G556" s="225" t="s">
        <v>48</v>
      </c>
      <c r="H556" s="225" t="s">
        <v>48</v>
      </c>
      <c r="I556" s="228">
        <v>383768000</v>
      </c>
      <c r="J556" s="228">
        <v>187902000</v>
      </c>
      <c r="K556" s="225" t="s">
        <v>112</v>
      </c>
      <c r="L556" s="228">
        <v>187902000</v>
      </c>
      <c r="M556" s="225" t="s">
        <v>113</v>
      </c>
      <c r="N556" s="228">
        <v>187902000</v>
      </c>
      <c r="O556" s="226">
        <v>0.48959999999999998</v>
      </c>
      <c r="P556" s="30">
        <v>420000000</v>
      </c>
      <c r="Q556" s="183">
        <f t="shared" si="167"/>
        <v>8.6266666666666672E-2</v>
      </c>
      <c r="R556" s="171">
        <v>420000000</v>
      </c>
    </row>
    <row r="557" spans="1:18" s="177" customFormat="1">
      <c r="A557" s="79"/>
      <c r="B557" s="80"/>
      <c r="C557" s="79" t="s">
        <v>1395</v>
      </c>
      <c r="D557" s="28" t="s">
        <v>409</v>
      </c>
      <c r="E557" s="29" t="s">
        <v>1220</v>
      </c>
      <c r="F557" s="227">
        <v>185920000</v>
      </c>
      <c r="G557" s="225" t="s">
        <v>48</v>
      </c>
      <c r="H557" s="225" t="s">
        <v>48</v>
      </c>
      <c r="I557" s="228">
        <v>185920000</v>
      </c>
      <c r="J557" s="228">
        <v>93951000</v>
      </c>
      <c r="K557" s="228">
        <v>93951000</v>
      </c>
      <c r="L557" s="228">
        <v>93951000</v>
      </c>
      <c r="M557" s="228">
        <v>93951000</v>
      </c>
      <c r="N557" s="228">
        <v>93951000</v>
      </c>
      <c r="O557" s="226">
        <v>0.50529999999999997</v>
      </c>
      <c r="P557" s="30">
        <v>196396000</v>
      </c>
      <c r="Q557" s="183">
        <f t="shared" si="167"/>
        <v>5.3341208578586125E-2</v>
      </c>
      <c r="R557" s="171">
        <v>196396000</v>
      </c>
    </row>
    <row r="558" spans="1:18" s="177" customFormat="1">
      <c r="A558" s="79"/>
      <c r="B558" s="80"/>
      <c r="C558" s="79" t="s">
        <v>1395</v>
      </c>
      <c r="D558" s="28" t="s">
        <v>419</v>
      </c>
      <c r="E558" s="29" t="s">
        <v>1221</v>
      </c>
      <c r="F558" s="227">
        <v>137449000</v>
      </c>
      <c r="G558" s="225" t="s">
        <v>48</v>
      </c>
      <c r="H558" s="225" t="s">
        <v>48</v>
      </c>
      <c r="I558" s="228">
        <v>137449000</v>
      </c>
      <c r="J558" s="228">
        <v>54093000</v>
      </c>
      <c r="K558" s="225" t="s">
        <v>112</v>
      </c>
      <c r="L558" s="228">
        <v>54093000</v>
      </c>
      <c r="M558" s="228">
        <v>54093000</v>
      </c>
      <c r="N558" s="228">
        <v>54093000</v>
      </c>
      <c r="O558" s="226">
        <v>0.39350000000000002</v>
      </c>
      <c r="P558" s="30">
        <v>344487000</v>
      </c>
      <c r="Q558" s="183">
        <f t="shared" si="167"/>
        <v>0.60100381146458359</v>
      </c>
      <c r="R558" s="171">
        <v>344487000</v>
      </c>
    </row>
    <row r="559" spans="1:18" s="176" customFormat="1">
      <c r="A559" s="10"/>
      <c r="B559" s="14" t="s">
        <v>1397</v>
      </c>
      <c r="C559" s="10" t="s">
        <v>1398</v>
      </c>
      <c r="D559" s="25"/>
      <c r="E559" s="9" t="s">
        <v>1399</v>
      </c>
      <c r="F559" s="216">
        <v>784512000</v>
      </c>
      <c r="G559" s="217" t="s">
        <v>48</v>
      </c>
      <c r="H559" s="217" t="s">
        <v>48</v>
      </c>
      <c r="I559" s="218">
        <v>784512000</v>
      </c>
      <c r="J559" s="218">
        <v>391365119</v>
      </c>
      <c r="K559" s="217" t="s">
        <v>112</v>
      </c>
      <c r="L559" s="218">
        <v>391365119</v>
      </c>
      <c r="M559" s="217" t="s">
        <v>113</v>
      </c>
      <c r="N559" s="218">
        <v>391365119</v>
      </c>
      <c r="O559" s="219">
        <v>0.49890000000000001</v>
      </c>
      <c r="P559" s="8">
        <f t="shared" ref="P559" si="175">+P560</f>
        <v>0</v>
      </c>
      <c r="Q559" s="183" t="e">
        <f t="shared" si="167"/>
        <v>#DIV/0!</v>
      </c>
      <c r="R559" s="347">
        <f>+R560</f>
        <v>0</v>
      </c>
    </row>
    <row r="560" spans="1:18" s="177" customFormat="1">
      <c r="A560" s="79"/>
      <c r="B560" s="80"/>
      <c r="C560" s="79" t="s">
        <v>1398</v>
      </c>
      <c r="D560" s="28" t="s">
        <v>346</v>
      </c>
      <c r="E560" s="29" t="s">
        <v>347</v>
      </c>
      <c r="F560" s="227">
        <v>784512000</v>
      </c>
      <c r="G560" s="225" t="s">
        <v>48</v>
      </c>
      <c r="H560" s="225" t="s">
        <v>48</v>
      </c>
      <c r="I560" s="228">
        <v>784512000</v>
      </c>
      <c r="J560" s="228">
        <v>391365119</v>
      </c>
      <c r="K560" s="225" t="s">
        <v>112</v>
      </c>
      <c r="L560" s="228">
        <v>391365119</v>
      </c>
      <c r="M560" s="225" t="s">
        <v>113</v>
      </c>
      <c r="N560" s="228">
        <v>391365119</v>
      </c>
      <c r="O560" s="226">
        <v>0.49890000000000001</v>
      </c>
      <c r="P560" s="30"/>
      <c r="Q560" s="183" t="e">
        <f t="shared" si="167"/>
        <v>#DIV/0!</v>
      </c>
      <c r="R560" s="171"/>
    </row>
    <row r="561" spans="1:18" s="176" customFormat="1">
      <c r="A561" s="10"/>
      <c r="B561" s="14" t="s">
        <v>1400</v>
      </c>
      <c r="C561" s="10" t="s">
        <v>1401</v>
      </c>
      <c r="D561" s="25"/>
      <c r="E561" s="9" t="s">
        <v>1402</v>
      </c>
      <c r="F561" s="272">
        <v>2127468000</v>
      </c>
      <c r="G561" s="273">
        <v>149369293</v>
      </c>
      <c r="H561" s="273">
        <v>149369293</v>
      </c>
      <c r="I561" s="273">
        <v>2276837293</v>
      </c>
      <c r="J561" s="273">
        <v>2275691333</v>
      </c>
      <c r="K561" s="273">
        <v>117946968</v>
      </c>
      <c r="L561" s="273">
        <v>2238192867</v>
      </c>
      <c r="M561" s="255" t="s">
        <v>113</v>
      </c>
      <c r="N561" s="273">
        <v>1512439533</v>
      </c>
      <c r="O561" s="274">
        <v>0.98299999999999998</v>
      </c>
      <c r="P561" s="8">
        <f t="shared" ref="P561" si="176">+P562</f>
        <v>2980673565.9899998</v>
      </c>
      <c r="Q561" s="183">
        <f t="shared" si="167"/>
        <v>0.23613329584993581</v>
      </c>
      <c r="R561" s="347">
        <f>+R562</f>
        <v>2980673565.9899998</v>
      </c>
    </row>
    <row r="562" spans="1:18" s="177" customFormat="1">
      <c r="A562" s="79"/>
      <c r="B562" s="80"/>
      <c r="C562" s="79" t="s">
        <v>1401</v>
      </c>
      <c r="D562" s="28" t="s">
        <v>409</v>
      </c>
      <c r="E562" s="29" t="s">
        <v>1403</v>
      </c>
      <c r="F562" s="227">
        <v>2127468000</v>
      </c>
      <c r="G562" s="228">
        <v>149369293</v>
      </c>
      <c r="H562" s="228">
        <v>149369293</v>
      </c>
      <c r="I562" s="228">
        <v>2276837293</v>
      </c>
      <c r="J562" s="228">
        <v>2275691333</v>
      </c>
      <c r="K562" s="228">
        <v>117946968</v>
      </c>
      <c r="L562" s="228">
        <v>2238192867</v>
      </c>
      <c r="M562" s="225" t="s">
        <v>113</v>
      </c>
      <c r="N562" s="228">
        <v>1512439533</v>
      </c>
      <c r="O562" s="226">
        <v>0.98299999999999998</v>
      </c>
      <c r="P562" s="30">
        <v>2980673565.9899998</v>
      </c>
      <c r="Q562" s="183">
        <f t="shared" si="167"/>
        <v>0.23613329584993581</v>
      </c>
      <c r="R562" s="171">
        <v>2980673565.9899998</v>
      </c>
    </row>
    <row r="563" spans="1:18">
      <c r="A563" s="10"/>
      <c r="B563" s="14" t="s">
        <v>1404</v>
      </c>
      <c r="C563" s="10" t="s">
        <v>1405</v>
      </c>
      <c r="D563" s="25"/>
      <c r="E563" s="9" t="s">
        <v>1406</v>
      </c>
      <c r="F563" s="216">
        <v>3423599000</v>
      </c>
      <c r="G563" s="217" t="s">
        <v>48</v>
      </c>
      <c r="H563" s="218">
        <v>215197500</v>
      </c>
      <c r="I563" s="218">
        <v>3638796500</v>
      </c>
      <c r="J563" s="218">
        <v>3572656321</v>
      </c>
      <c r="K563" s="217" t="s">
        <v>112</v>
      </c>
      <c r="L563" s="218">
        <v>3572656321</v>
      </c>
      <c r="M563" s="217" t="s">
        <v>113</v>
      </c>
      <c r="N563" s="218">
        <v>2335660754</v>
      </c>
      <c r="O563" s="219">
        <v>0.98180000000000001</v>
      </c>
      <c r="P563" s="8">
        <f t="shared" ref="P563" si="177">SUM(P564:P564)</f>
        <v>4177257027.0299997</v>
      </c>
      <c r="Q563" s="183">
        <f t="shared" si="167"/>
        <v>0.12890289573893934</v>
      </c>
      <c r="R563" s="347">
        <f>SUM(R564:R564)</f>
        <v>4177257027.0299997</v>
      </c>
    </row>
    <row r="564" spans="1:18" s="177" customFormat="1">
      <c r="A564" s="79"/>
      <c r="B564" s="80"/>
      <c r="C564" s="79" t="s">
        <v>1405</v>
      </c>
      <c r="D564" s="28" t="s">
        <v>397</v>
      </c>
      <c r="E564" s="29" t="s">
        <v>1330</v>
      </c>
      <c r="F564" s="227">
        <v>3423599000</v>
      </c>
      <c r="G564" s="225" t="s">
        <v>48</v>
      </c>
      <c r="H564" s="228">
        <v>215197500</v>
      </c>
      <c r="I564" s="228">
        <v>3638796500</v>
      </c>
      <c r="J564" s="228">
        <v>3572656321</v>
      </c>
      <c r="K564" s="225" t="s">
        <v>112</v>
      </c>
      <c r="L564" s="228">
        <v>3572656321</v>
      </c>
      <c r="M564" s="225" t="s">
        <v>113</v>
      </c>
      <c r="N564" s="228">
        <v>2335660754</v>
      </c>
      <c r="O564" s="226">
        <v>0.98180000000000001</v>
      </c>
      <c r="P564" s="30">
        <f>4615299864.15-(4*(66282806.65)+2*(86455805.26))</f>
        <v>4177257027.0299997</v>
      </c>
      <c r="Q564" s="183">
        <f t="shared" si="167"/>
        <v>0.12890289573893934</v>
      </c>
      <c r="R564" s="171">
        <f>4615299864.15-(4*(66282806.65)+2*(86455805.26))</f>
        <v>4177257027.0299997</v>
      </c>
    </row>
    <row r="565" spans="1:18" s="176" customFormat="1">
      <c r="A565" s="10"/>
      <c r="B565" s="14" t="s">
        <v>1407</v>
      </c>
      <c r="C565" s="10" t="s">
        <v>1408</v>
      </c>
      <c r="D565" s="25"/>
      <c r="E565" s="9" t="s">
        <v>1409</v>
      </c>
      <c r="F565" s="216">
        <v>2643905000</v>
      </c>
      <c r="G565" s="217" t="s">
        <v>48</v>
      </c>
      <c r="H565" s="217" t="s">
        <v>48</v>
      </c>
      <c r="I565" s="218">
        <v>2643905000</v>
      </c>
      <c r="J565" s="218">
        <v>2637749471</v>
      </c>
      <c r="K565" s="218">
        <v>21097008</v>
      </c>
      <c r="L565" s="218">
        <v>2563730282</v>
      </c>
      <c r="M565" s="218">
        <v>246647093</v>
      </c>
      <c r="N565" s="218">
        <v>1981544556</v>
      </c>
      <c r="O565" s="219">
        <v>0.96970000000000001</v>
      </c>
      <c r="P565" s="8">
        <f t="shared" ref="P565" si="178">+P566</f>
        <v>3200306348.2600002</v>
      </c>
      <c r="Q565" s="183">
        <f t="shared" si="167"/>
        <v>0.17385877716441567</v>
      </c>
      <c r="R565" s="347">
        <f>+R566</f>
        <v>3200306348.2600002</v>
      </c>
    </row>
    <row r="566" spans="1:18" s="177" customFormat="1">
      <c r="A566" s="79"/>
      <c r="B566" s="80"/>
      <c r="C566" s="79" t="s">
        <v>1408</v>
      </c>
      <c r="D566" s="28" t="s">
        <v>393</v>
      </c>
      <c r="E566" s="29" t="s">
        <v>1216</v>
      </c>
      <c r="F566" s="227">
        <v>2643905000</v>
      </c>
      <c r="G566" s="225" t="s">
        <v>48</v>
      </c>
      <c r="H566" s="225" t="s">
        <v>48</v>
      </c>
      <c r="I566" s="228">
        <v>2643905000</v>
      </c>
      <c r="J566" s="228">
        <v>2637749471</v>
      </c>
      <c r="K566" s="228">
        <v>21097008</v>
      </c>
      <c r="L566" s="228">
        <v>2563730282</v>
      </c>
      <c r="M566" s="228">
        <v>246647093</v>
      </c>
      <c r="N566" s="228">
        <v>1981544556</v>
      </c>
      <c r="O566" s="226">
        <v>0.96970000000000001</v>
      </c>
      <c r="P566" s="30">
        <v>3200306348.2600002</v>
      </c>
      <c r="Q566" s="183">
        <f t="shared" si="167"/>
        <v>0.17385877716441567</v>
      </c>
      <c r="R566" s="171">
        <v>3200306348.2600002</v>
      </c>
    </row>
    <row r="567" spans="1:18" s="176" customFormat="1">
      <c r="A567" s="10"/>
      <c r="B567" s="14" t="s">
        <v>1410</v>
      </c>
      <c r="C567" s="10" t="s">
        <v>1411</v>
      </c>
      <c r="D567" s="25"/>
      <c r="E567" s="9" t="s">
        <v>1412</v>
      </c>
      <c r="F567" s="216">
        <v>2995334000</v>
      </c>
      <c r="G567" s="217" t="s">
        <v>48</v>
      </c>
      <c r="H567" s="217" t="s">
        <v>48</v>
      </c>
      <c r="I567" s="218">
        <v>2995334000</v>
      </c>
      <c r="J567" s="218">
        <v>2906124180</v>
      </c>
      <c r="K567" s="217" t="s">
        <v>112</v>
      </c>
      <c r="L567" s="218">
        <v>2906124180</v>
      </c>
      <c r="M567" s="218">
        <v>293394717</v>
      </c>
      <c r="N567" s="218">
        <v>2246468583</v>
      </c>
      <c r="O567" s="219">
        <v>0.97019999999999995</v>
      </c>
      <c r="P567" s="8">
        <f t="shared" ref="P567" si="179">+P568</f>
        <v>3296127980.5299997</v>
      </c>
      <c r="Q567" s="183">
        <f t="shared" si="167"/>
        <v>9.1256766213802673E-2</v>
      </c>
      <c r="R567" s="347">
        <f>+R568</f>
        <v>3296127980.5299997</v>
      </c>
    </row>
    <row r="568" spans="1:18" s="177" customFormat="1">
      <c r="A568" s="79"/>
      <c r="B568" s="80"/>
      <c r="C568" s="79" t="s">
        <v>1411</v>
      </c>
      <c r="D568" s="28" t="s">
        <v>401</v>
      </c>
      <c r="E568" s="29" t="s">
        <v>1358</v>
      </c>
      <c r="F568" s="227">
        <v>2995334000</v>
      </c>
      <c r="G568" s="225" t="s">
        <v>48</v>
      </c>
      <c r="H568" s="225" t="s">
        <v>48</v>
      </c>
      <c r="I568" s="228">
        <v>2995334000</v>
      </c>
      <c r="J568" s="228">
        <v>2906124180</v>
      </c>
      <c r="K568" s="225" t="s">
        <v>112</v>
      </c>
      <c r="L568" s="228">
        <v>2906124180</v>
      </c>
      <c r="M568" s="228">
        <v>293394717</v>
      </c>
      <c r="N568" s="228">
        <v>2246468583</v>
      </c>
      <c r="O568" s="226">
        <v>0.97019999999999995</v>
      </c>
      <c r="P568" s="30">
        <f>3362410787.18-66282806.65</f>
        <v>3296127980.5299997</v>
      </c>
      <c r="Q568" s="183">
        <f t="shared" si="167"/>
        <v>9.1256766213802673E-2</v>
      </c>
      <c r="R568" s="171">
        <f>3362410787.18-66282806.65</f>
        <v>3296127980.5299997</v>
      </c>
    </row>
    <row r="569" spans="1:18" s="177" customFormat="1">
      <c r="A569" s="10"/>
      <c r="B569" s="14" t="s">
        <v>1413</v>
      </c>
      <c r="C569" s="10" t="s">
        <v>1414</v>
      </c>
      <c r="D569" s="25"/>
      <c r="E569" s="9" t="s">
        <v>1415</v>
      </c>
      <c r="F569" s="216">
        <v>3222062000</v>
      </c>
      <c r="G569" s="218">
        <v>397643225</v>
      </c>
      <c r="H569" s="218">
        <v>504116076</v>
      </c>
      <c r="I569" s="218">
        <v>3726178076</v>
      </c>
      <c r="J569" s="218">
        <v>3222057134</v>
      </c>
      <c r="K569" s="217" t="s">
        <v>112</v>
      </c>
      <c r="L569" s="218">
        <v>3222057134</v>
      </c>
      <c r="M569" s="218">
        <v>331515551</v>
      </c>
      <c r="N569" s="218">
        <v>2507384490</v>
      </c>
      <c r="O569" s="219">
        <v>0.86470000000000002</v>
      </c>
      <c r="P569" s="8">
        <f t="shared" ref="P569" si="180">+P570</f>
        <v>4022946240.8400002</v>
      </c>
      <c r="Q569" s="183">
        <f t="shared" si="167"/>
        <v>7.3768861693273416E-2</v>
      </c>
      <c r="R569" s="347">
        <f>+R570</f>
        <v>4022946240.8400002</v>
      </c>
    </row>
    <row r="570" spans="1:18" s="177" customFormat="1">
      <c r="A570" s="79"/>
      <c r="B570" s="80"/>
      <c r="C570" s="79" t="s">
        <v>1414</v>
      </c>
      <c r="D570" s="28" t="s">
        <v>405</v>
      </c>
      <c r="E570" s="29" t="s">
        <v>1219</v>
      </c>
      <c r="F570" s="227">
        <v>3222062000</v>
      </c>
      <c r="G570" s="228">
        <v>397643225</v>
      </c>
      <c r="H570" s="228">
        <v>504116076</v>
      </c>
      <c r="I570" s="228">
        <v>3726178076</v>
      </c>
      <c r="J570" s="228">
        <v>3222057134</v>
      </c>
      <c r="K570" s="225" t="s">
        <v>112</v>
      </c>
      <c r="L570" s="228">
        <v>3222057134</v>
      </c>
      <c r="M570" s="228">
        <v>331515551</v>
      </c>
      <c r="N570" s="228">
        <v>2507384490</v>
      </c>
      <c r="O570" s="226">
        <v>0.86470000000000002</v>
      </c>
      <c r="P570" s="30">
        <v>4022946240.8400002</v>
      </c>
      <c r="Q570" s="183">
        <f t="shared" si="167"/>
        <v>7.3768861693273416E-2</v>
      </c>
      <c r="R570" s="171">
        <v>4022946240.8400002</v>
      </c>
    </row>
    <row r="571" spans="1:18">
      <c r="A571" s="10"/>
      <c r="B571" s="14" t="s">
        <v>1416</v>
      </c>
      <c r="C571" s="10" t="s">
        <v>1417</v>
      </c>
      <c r="D571" s="25"/>
      <c r="E571" s="9" t="s">
        <v>1418</v>
      </c>
      <c r="F571" s="216">
        <v>11271829000</v>
      </c>
      <c r="G571" s="217" t="s">
        <v>48</v>
      </c>
      <c r="H571" s="218">
        <v>736766795</v>
      </c>
      <c r="I571" s="218">
        <v>12008595795</v>
      </c>
      <c r="J571" s="218">
        <v>10585847584</v>
      </c>
      <c r="K571" s="218">
        <v>-164414668</v>
      </c>
      <c r="L571" s="218">
        <v>10548248956</v>
      </c>
      <c r="M571" s="218">
        <v>417896395</v>
      </c>
      <c r="N571" s="218">
        <v>7125452366</v>
      </c>
      <c r="O571" s="219">
        <v>0.87839999999999996</v>
      </c>
      <c r="P571" s="8">
        <f t="shared" ref="P571" si="181">SUM(P572:P585)</f>
        <v>14367446698.9</v>
      </c>
      <c r="Q571" s="183">
        <f t="shared" si="167"/>
        <v>0.16418024394554379</v>
      </c>
      <c r="R571" s="347">
        <f>SUM(R572:R585)</f>
        <v>14367446698.9</v>
      </c>
    </row>
    <row r="572" spans="1:18" s="177" customFormat="1">
      <c r="A572" s="79"/>
      <c r="B572" s="80"/>
      <c r="C572" s="79" t="s">
        <v>1417</v>
      </c>
      <c r="D572" s="28" t="s">
        <v>1001</v>
      </c>
      <c r="E572" s="29" t="s">
        <v>1002</v>
      </c>
      <c r="F572" s="227">
        <v>1142831000</v>
      </c>
      <c r="G572" s="225" t="s">
        <v>48</v>
      </c>
      <c r="H572" s="228">
        <v>-276148025</v>
      </c>
      <c r="I572" s="228">
        <v>866682975</v>
      </c>
      <c r="J572" s="228">
        <v>501252501</v>
      </c>
      <c r="K572" s="228">
        <v>-39102582</v>
      </c>
      <c r="L572" s="228">
        <v>501252501</v>
      </c>
      <c r="M572" s="225" t="s">
        <v>113</v>
      </c>
      <c r="N572" s="228">
        <v>342130888</v>
      </c>
      <c r="O572" s="226">
        <v>0.57840000000000003</v>
      </c>
      <c r="P572" s="30">
        <v>940927427</v>
      </c>
      <c r="Q572" s="183">
        <f t="shared" si="167"/>
        <v>7.8905609369594884E-2</v>
      </c>
      <c r="R572" s="171">
        <v>940927427</v>
      </c>
    </row>
    <row r="573" spans="1:18" s="177" customFormat="1">
      <c r="A573" s="79"/>
      <c r="B573" s="80"/>
      <c r="C573" s="79" t="s">
        <v>1417</v>
      </c>
      <c r="D573" s="28" t="s">
        <v>1419</v>
      </c>
      <c r="E573" s="29" t="s">
        <v>1420</v>
      </c>
      <c r="F573" s="227">
        <v>1819403000</v>
      </c>
      <c r="G573" s="225" t="s">
        <v>48</v>
      </c>
      <c r="H573" s="228">
        <v>-145072738</v>
      </c>
      <c r="I573" s="228">
        <v>1674330262</v>
      </c>
      <c r="J573" s="228">
        <v>1523827085</v>
      </c>
      <c r="K573" s="228">
        <v>-125312086</v>
      </c>
      <c r="L573" s="228">
        <v>1523827085</v>
      </c>
      <c r="M573" s="225" t="s">
        <v>113</v>
      </c>
      <c r="N573" s="228">
        <v>989370718</v>
      </c>
      <c r="O573" s="226">
        <v>0.91010000000000002</v>
      </c>
      <c r="P573" s="30">
        <v>1583582527</v>
      </c>
      <c r="Q573" s="183">
        <f t="shared" si="167"/>
        <v>-5.7305339919300584E-2</v>
      </c>
      <c r="R573" s="171">
        <v>1583582527</v>
      </c>
    </row>
    <row r="574" spans="1:18" s="177" customFormat="1">
      <c r="A574" s="79"/>
      <c r="B574" s="80"/>
      <c r="C574" s="79" t="s">
        <v>1417</v>
      </c>
      <c r="D574" s="28" t="s">
        <v>1421</v>
      </c>
      <c r="E574" s="29" t="s">
        <v>1422</v>
      </c>
      <c r="F574" s="227">
        <v>115883000</v>
      </c>
      <c r="G574" s="225" t="s">
        <v>48</v>
      </c>
      <c r="H574" s="228">
        <v>84141780</v>
      </c>
      <c r="I574" s="228">
        <v>200024780</v>
      </c>
      <c r="J574" s="228">
        <v>170447170</v>
      </c>
      <c r="K574" s="225" t="s">
        <v>112</v>
      </c>
      <c r="L574" s="228">
        <v>170447170</v>
      </c>
      <c r="M574" s="228">
        <v>17044717</v>
      </c>
      <c r="N574" s="228">
        <v>123290120</v>
      </c>
      <c r="O574" s="226">
        <v>0.85209999999999997</v>
      </c>
      <c r="P574" s="30">
        <v>219021417</v>
      </c>
      <c r="Q574" s="183">
        <f t="shared" si="167"/>
        <v>8.6734152578329823E-2</v>
      </c>
      <c r="R574" s="171">
        <v>219021417</v>
      </c>
    </row>
    <row r="575" spans="1:18" s="177" customFormat="1">
      <c r="A575" s="79"/>
      <c r="B575" s="80"/>
      <c r="C575" s="79" t="s">
        <v>1417</v>
      </c>
      <c r="D575" s="28" t="s">
        <v>1423</v>
      </c>
      <c r="E575" s="29" t="s">
        <v>1424</v>
      </c>
      <c r="F575" s="227">
        <v>327497000</v>
      </c>
      <c r="G575" s="225" t="s">
        <v>48</v>
      </c>
      <c r="H575" s="228">
        <v>14650687</v>
      </c>
      <c r="I575" s="228">
        <v>342147687</v>
      </c>
      <c r="J575" s="228">
        <v>342147687</v>
      </c>
      <c r="K575" s="225" t="s">
        <v>112</v>
      </c>
      <c r="L575" s="228">
        <v>342147687</v>
      </c>
      <c r="M575" s="228">
        <v>36345358</v>
      </c>
      <c r="N575" s="228">
        <v>248351594</v>
      </c>
      <c r="O575" s="226">
        <v>1</v>
      </c>
      <c r="P575" s="30">
        <v>374641941.63</v>
      </c>
      <c r="Q575" s="183">
        <f t="shared" si="167"/>
        <v>8.6734161393204709E-2</v>
      </c>
      <c r="R575" s="171">
        <v>374641941.63</v>
      </c>
    </row>
    <row r="576" spans="1:18" s="177" customFormat="1">
      <c r="A576" s="79"/>
      <c r="B576" s="80"/>
      <c r="C576" s="79" t="s">
        <v>1417</v>
      </c>
      <c r="D576" s="28" t="s">
        <v>1425</v>
      </c>
      <c r="E576" s="29" t="s">
        <v>1426</v>
      </c>
      <c r="F576" s="227">
        <v>792290000</v>
      </c>
      <c r="G576" s="225" t="s">
        <v>48</v>
      </c>
      <c r="H576" s="228">
        <v>-117770413</v>
      </c>
      <c r="I576" s="228">
        <v>674519587</v>
      </c>
      <c r="J576" s="228">
        <v>536240154</v>
      </c>
      <c r="K576" s="225" t="s">
        <v>112</v>
      </c>
      <c r="L576" s="228">
        <v>498641526</v>
      </c>
      <c r="M576" s="228">
        <v>20804581</v>
      </c>
      <c r="N576" s="228">
        <v>339173151</v>
      </c>
      <c r="O576" s="226">
        <v>0.73929999999999996</v>
      </c>
      <c r="P576" s="30">
        <v>772076644</v>
      </c>
      <c r="Q576" s="183">
        <f t="shared" si="167"/>
        <v>0.12635670015164971</v>
      </c>
      <c r="R576" s="171">
        <v>772076644</v>
      </c>
    </row>
    <row r="577" spans="1:18" s="177" customFormat="1">
      <c r="A577" s="79"/>
      <c r="B577" s="80"/>
      <c r="C577" s="79" t="s">
        <v>1417</v>
      </c>
      <c r="D577" s="28" t="s">
        <v>1427</v>
      </c>
      <c r="E577" s="29" t="s">
        <v>1428</v>
      </c>
      <c r="F577" s="227">
        <v>743165000</v>
      </c>
      <c r="G577" s="225" t="s">
        <v>48</v>
      </c>
      <c r="H577" s="228">
        <v>93780691</v>
      </c>
      <c r="I577" s="228">
        <v>836945691</v>
      </c>
      <c r="J577" s="228">
        <v>762166186</v>
      </c>
      <c r="K577" s="225" t="s">
        <v>112</v>
      </c>
      <c r="L577" s="228">
        <v>762166186</v>
      </c>
      <c r="M577" s="225" t="s">
        <v>113</v>
      </c>
      <c r="N577" s="228">
        <v>483493421</v>
      </c>
      <c r="O577" s="226">
        <v>0.91069999999999995</v>
      </c>
      <c r="P577" s="30">
        <v>714701349</v>
      </c>
      <c r="Q577" s="183">
        <f t="shared" si="167"/>
        <v>-0.17104255108940616</v>
      </c>
      <c r="R577" s="171">
        <v>714701349</v>
      </c>
    </row>
    <row r="578" spans="1:18" s="177" customFormat="1">
      <c r="A578" s="79"/>
      <c r="B578" s="80"/>
      <c r="C578" s="79" t="s">
        <v>1417</v>
      </c>
      <c r="D578" s="28" t="s">
        <v>1248</v>
      </c>
      <c r="E578" s="29" t="s">
        <v>1249</v>
      </c>
      <c r="F578" s="227">
        <v>115883000</v>
      </c>
      <c r="G578" s="225" t="s">
        <v>48</v>
      </c>
      <c r="H578" s="228">
        <v>5184646</v>
      </c>
      <c r="I578" s="228">
        <v>121067646</v>
      </c>
      <c r="J578" s="228">
        <v>121067646</v>
      </c>
      <c r="K578" s="225" t="s">
        <v>112</v>
      </c>
      <c r="L578" s="228">
        <v>121067646</v>
      </c>
      <c r="M578" s="228">
        <v>11530252</v>
      </c>
      <c r="N578" s="228">
        <v>86092548</v>
      </c>
      <c r="O578" s="226">
        <v>1</v>
      </c>
      <c r="P578" s="30">
        <v>198848419.94999999</v>
      </c>
      <c r="Q578" s="183">
        <f t="shared" si="167"/>
        <v>0.39115610759973751</v>
      </c>
      <c r="R578" s="171">
        <v>198848419.94999999</v>
      </c>
    </row>
    <row r="579" spans="1:18" s="177" customFormat="1">
      <c r="A579" s="79"/>
      <c r="B579" s="80"/>
      <c r="C579" s="79" t="s">
        <v>1417</v>
      </c>
      <c r="D579" s="28" t="s">
        <v>1429</v>
      </c>
      <c r="E579" s="29" t="s">
        <v>1430</v>
      </c>
      <c r="F579" s="227">
        <v>750723000</v>
      </c>
      <c r="G579" s="225" t="s">
        <v>48</v>
      </c>
      <c r="H579" s="228">
        <v>33584759</v>
      </c>
      <c r="I579" s="228">
        <v>784307759</v>
      </c>
      <c r="J579" s="228">
        <v>594058601</v>
      </c>
      <c r="K579" s="225" t="s">
        <v>112</v>
      </c>
      <c r="L579" s="228">
        <v>594058601</v>
      </c>
      <c r="M579" s="228">
        <v>57400599</v>
      </c>
      <c r="N579" s="228">
        <v>426652720</v>
      </c>
      <c r="O579" s="226">
        <v>0.75739999999999996</v>
      </c>
      <c r="P579" s="30">
        <v>680119160</v>
      </c>
      <c r="Q579" s="183">
        <f t="shared" si="167"/>
        <v>-0.153191683351488</v>
      </c>
      <c r="R579" s="171">
        <v>680119160</v>
      </c>
    </row>
    <row r="580" spans="1:18" s="177" customFormat="1">
      <c r="A580" s="79"/>
      <c r="B580" s="80"/>
      <c r="C580" s="79" t="s">
        <v>1417</v>
      </c>
      <c r="D580" s="28" t="s">
        <v>1431</v>
      </c>
      <c r="E580" s="29" t="s">
        <v>1432</v>
      </c>
      <c r="F580" s="227">
        <v>995086000</v>
      </c>
      <c r="G580" s="225" t="s">
        <v>48</v>
      </c>
      <c r="H580" s="228">
        <v>169567391</v>
      </c>
      <c r="I580" s="228">
        <v>1164653391</v>
      </c>
      <c r="J580" s="228">
        <v>1055268604</v>
      </c>
      <c r="K580" s="225" t="s">
        <v>112</v>
      </c>
      <c r="L580" s="228">
        <v>1055268604</v>
      </c>
      <c r="M580" s="228">
        <v>101015024</v>
      </c>
      <c r="N580" s="228">
        <v>791535003</v>
      </c>
      <c r="O580" s="226">
        <v>0.90610000000000002</v>
      </c>
      <c r="P580" s="30">
        <v>1662833712.54</v>
      </c>
      <c r="Q580" s="183">
        <f t="shared" si="167"/>
        <v>0.29959719831457055</v>
      </c>
      <c r="R580" s="171">
        <v>1662833712.54</v>
      </c>
    </row>
    <row r="581" spans="1:18" s="177" customFormat="1">
      <c r="A581" s="79"/>
      <c r="B581" s="80"/>
      <c r="C581" s="79" t="s">
        <v>1417</v>
      </c>
      <c r="D581" s="28" t="s">
        <v>1046</v>
      </c>
      <c r="E581" s="29" t="s">
        <v>1047</v>
      </c>
      <c r="F581" s="227">
        <v>823780000</v>
      </c>
      <c r="G581" s="225" t="s">
        <v>48</v>
      </c>
      <c r="H581" s="228">
        <v>144635516</v>
      </c>
      <c r="I581" s="228">
        <v>968415516</v>
      </c>
      <c r="J581" s="228">
        <v>878237474</v>
      </c>
      <c r="K581" s="225" t="s">
        <v>112</v>
      </c>
      <c r="L581" s="228">
        <v>878237474</v>
      </c>
      <c r="M581" s="228">
        <v>84271094</v>
      </c>
      <c r="N581" s="228">
        <v>649779754</v>
      </c>
      <c r="O581" s="226">
        <v>0.90690000000000004</v>
      </c>
      <c r="P581" s="30">
        <v>1141216923.8399999</v>
      </c>
      <c r="Q581" s="183">
        <f t="shared" si="167"/>
        <v>0.15141854649206629</v>
      </c>
      <c r="R581" s="171">
        <v>1141216923.8399999</v>
      </c>
    </row>
    <row r="582" spans="1:18" s="177" customFormat="1">
      <c r="A582" s="79"/>
      <c r="B582" s="80"/>
      <c r="C582" s="79" t="s">
        <v>1417</v>
      </c>
      <c r="D582" s="28" t="s">
        <v>1086</v>
      </c>
      <c r="E582" s="29" t="s">
        <v>1087</v>
      </c>
      <c r="F582" s="227">
        <v>2708144000</v>
      </c>
      <c r="G582" s="225" t="s">
        <v>48</v>
      </c>
      <c r="H582" s="228">
        <v>648809281</v>
      </c>
      <c r="I582" s="228">
        <v>3356953281</v>
      </c>
      <c r="J582" s="228">
        <v>3136478633</v>
      </c>
      <c r="K582" s="225" t="s">
        <v>112</v>
      </c>
      <c r="L582" s="228">
        <v>3136478633</v>
      </c>
      <c r="M582" s="225" t="s">
        <v>113</v>
      </c>
      <c r="N582" s="228">
        <v>1931784751</v>
      </c>
      <c r="O582" s="226">
        <v>0.93430000000000002</v>
      </c>
      <c r="P582" s="30">
        <v>4056218978.0300002</v>
      </c>
      <c r="Q582" s="183">
        <f t="shared" si="167"/>
        <v>0.17239347796987414</v>
      </c>
      <c r="R582" s="171">
        <v>4056218978.0300002</v>
      </c>
    </row>
    <row r="583" spans="1:18" s="177" customFormat="1">
      <c r="A583" s="79"/>
      <c r="B583" s="80"/>
      <c r="C583" s="79" t="s">
        <v>1417</v>
      </c>
      <c r="D583" s="28" t="s">
        <v>1222</v>
      </c>
      <c r="E583" s="29" t="s">
        <v>1223</v>
      </c>
      <c r="F583" s="227">
        <v>307343000</v>
      </c>
      <c r="G583" s="225" t="s">
        <v>48</v>
      </c>
      <c r="H583" s="228">
        <v>13749426</v>
      </c>
      <c r="I583" s="228">
        <v>321092426</v>
      </c>
      <c r="J583" s="228">
        <v>270960912</v>
      </c>
      <c r="K583" s="225" t="s">
        <v>112</v>
      </c>
      <c r="L583" s="228">
        <v>270960912</v>
      </c>
      <c r="M583" s="228">
        <v>23060504</v>
      </c>
      <c r="N583" s="228">
        <v>207928869</v>
      </c>
      <c r="O583" s="226">
        <v>0.84389999999999998</v>
      </c>
      <c r="P583" s="30">
        <v>363306593</v>
      </c>
      <c r="Q583" s="183">
        <f t="shared" si="167"/>
        <v>0.11619433231700257</v>
      </c>
      <c r="R583" s="171">
        <v>363306593</v>
      </c>
    </row>
    <row r="584" spans="1:18" s="177" customFormat="1">
      <c r="A584" s="79"/>
      <c r="B584" s="80"/>
      <c r="C584" s="79" t="s">
        <v>1417</v>
      </c>
      <c r="D584" s="28" t="s">
        <v>1433</v>
      </c>
      <c r="E584" s="29" t="s">
        <v>1434</v>
      </c>
      <c r="F584" s="227">
        <v>229248000</v>
      </c>
      <c r="G584" s="225" t="s">
        <v>48</v>
      </c>
      <c r="H584" s="228">
        <v>49733924</v>
      </c>
      <c r="I584" s="228">
        <v>278981924</v>
      </c>
      <c r="J584" s="228">
        <v>278981924</v>
      </c>
      <c r="K584" s="225" t="s">
        <v>112</v>
      </c>
      <c r="L584" s="228">
        <v>278981924</v>
      </c>
      <c r="M584" s="228">
        <v>26569707</v>
      </c>
      <c r="N584" s="228">
        <v>201545433</v>
      </c>
      <c r="O584" s="226">
        <v>1</v>
      </c>
      <c r="P584" s="30">
        <v>351587031.86000001</v>
      </c>
      <c r="Q584" s="183">
        <f t="shared" si="167"/>
        <v>0.20650678574774897</v>
      </c>
      <c r="R584" s="171">
        <v>351587031.86000001</v>
      </c>
    </row>
    <row r="585" spans="1:18" s="177" customFormat="1">
      <c r="A585" s="79"/>
      <c r="B585" s="80"/>
      <c r="C585" s="79" t="s">
        <v>1417</v>
      </c>
      <c r="D585" s="28" t="s">
        <v>1224</v>
      </c>
      <c r="E585" s="29" t="s">
        <v>1225</v>
      </c>
      <c r="F585" s="227">
        <v>400553000</v>
      </c>
      <c r="G585" s="225" t="s">
        <v>48</v>
      </c>
      <c r="H585" s="228">
        <v>17919870</v>
      </c>
      <c r="I585" s="228">
        <v>418472870</v>
      </c>
      <c r="J585" s="228">
        <v>414713007</v>
      </c>
      <c r="K585" s="225" t="s">
        <v>112</v>
      </c>
      <c r="L585" s="228">
        <v>414713007</v>
      </c>
      <c r="M585" s="228">
        <v>39854559</v>
      </c>
      <c r="N585" s="228">
        <v>304323396</v>
      </c>
      <c r="O585" s="226">
        <v>0.99099999999999999</v>
      </c>
      <c r="P585" s="30">
        <v>1308364574.05</v>
      </c>
      <c r="Q585" s="183">
        <f t="shared" si="167"/>
        <v>0.68015576216296436</v>
      </c>
      <c r="R585" s="171">
        <v>1308364574.05</v>
      </c>
    </row>
    <row r="586" spans="1:18">
      <c r="A586" s="10"/>
      <c r="B586" s="14" t="s">
        <v>1435</v>
      </c>
      <c r="C586" s="10" t="s">
        <v>1436</v>
      </c>
      <c r="D586" s="25"/>
      <c r="E586" s="9" t="s">
        <v>1437</v>
      </c>
      <c r="F586" s="216">
        <v>11578260000</v>
      </c>
      <c r="G586" s="218">
        <v>2339711644</v>
      </c>
      <c r="H586" s="218">
        <v>2294593282</v>
      </c>
      <c r="I586" s="218">
        <v>13872853282</v>
      </c>
      <c r="J586" s="218">
        <v>12348926619</v>
      </c>
      <c r="K586" s="218">
        <v>2966107</v>
      </c>
      <c r="L586" s="218">
        <v>11337907542</v>
      </c>
      <c r="M586" s="218">
        <v>1230753891</v>
      </c>
      <c r="N586" s="218">
        <v>9349095741</v>
      </c>
      <c r="O586" s="219">
        <v>0.81730000000000003</v>
      </c>
      <c r="P586" s="8">
        <f t="shared" ref="P586" si="182">SUM(P587:P600)</f>
        <v>9841754480.0200005</v>
      </c>
      <c r="Q586" s="183">
        <f t="shared" si="167"/>
        <v>-0.40959148190128469</v>
      </c>
      <c r="R586" s="347">
        <f>SUM(R587:R600)</f>
        <v>9841754480.0200005</v>
      </c>
    </row>
    <row r="587" spans="1:18" s="177" customFormat="1">
      <c r="A587" s="79"/>
      <c r="B587" s="80"/>
      <c r="C587" s="79" t="s">
        <v>1436</v>
      </c>
      <c r="D587" s="28" t="s">
        <v>1438</v>
      </c>
      <c r="E587" s="29" t="s">
        <v>1439</v>
      </c>
      <c r="F587" s="227">
        <v>763319000</v>
      </c>
      <c r="G587" s="228">
        <v>160161854</v>
      </c>
      <c r="H587" s="228">
        <v>80386149</v>
      </c>
      <c r="I587" s="228">
        <v>843705149</v>
      </c>
      <c r="J587" s="228">
        <v>683543295</v>
      </c>
      <c r="K587" s="225" t="s">
        <v>112</v>
      </c>
      <c r="L587" s="228">
        <v>683543295</v>
      </c>
      <c r="M587" s="228">
        <v>75949255</v>
      </c>
      <c r="N587" s="228">
        <v>586647418</v>
      </c>
      <c r="O587" s="226">
        <v>0.81020000000000003</v>
      </c>
      <c r="P587" s="30">
        <v>873203774.58000004</v>
      </c>
      <c r="Q587" s="183">
        <f t="shared" si="167"/>
        <v>3.3782063750455622E-2</v>
      </c>
      <c r="R587" s="171">
        <v>873203774.58000004</v>
      </c>
    </row>
    <row r="588" spans="1:18" s="177" customFormat="1">
      <c r="A588" s="79"/>
      <c r="B588" s="80"/>
      <c r="C588" s="79" t="s">
        <v>1436</v>
      </c>
      <c r="D588" s="28" t="s">
        <v>1003</v>
      </c>
      <c r="E588" s="29" t="s">
        <v>1004</v>
      </c>
      <c r="F588" s="227">
        <v>720492000</v>
      </c>
      <c r="G588" s="228">
        <v>120232091</v>
      </c>
      <c r="H588" s="228">
        <v>44932802</v>
      </c>
      <c r="I588" s="228">
        <v>765424802</v>
      </c>
      <c r="J588" s="228">
        <v>638424945</v>
      </c>
      <c r="K588" s="228">
        <v>17295378</v>
      </c>
      <c r="L588" s="228">
        <v>638424945</v>
      </c>
      <c r="M588" s="228">
        <v>70936105</v>
      </c>
      <c r="N588" s="228">
        <v>538980712</v>
      </c>
      <c r="O588" s="226">
        <v>0.83409999999999995</v>
      </c>
      <c r="P588" s="30">
        <v>887613088.88</v>
      </c>
      <c r="Q588" s="183">
        <f t="shared" si="167"/>
        <v>0.13765940183935158</v>
      </c>
      <c r="R588" s="171">
        <v>887613088.88</v>
      </c>
    </row>
    <row r="589" spans="1:18" s="177" customFormat="1">
      <c r="A589" s="79"/>
      <c r="B589" s="80"/>
      <c r="C589" s="79" t="s">
        <v>1436</v>
      </c>
      <c r="D589" s="28" t="s">
        <v>1331</v>
      </c>
      <c r="E589" s="29" t="s">
        <v>1332</v>
      </c>
      <c r="F589" s="227">
        <v>260738000</v>
      </c>
      <c r="G589" s="228">
        <v>43760643</v>
      </c>
      <c r="H589" s="228">
        <v>28040462</v>
      </c>
      <c r="I589" s="228">
        <v>288778462</v>
      </c>
      <c r="J589" s="228">
        <v>245017819</v>
      </c>
      <c r="K589" s="225" t="s">
        <v>112</v>
      </c>
      <c r="L589" s="228">
        <v>245017819</v>
      </c>
      <c r="M589" s="228">
        <v>31708189</v>
      </c>
      <c r="N589" s="228">
        <v>189121167</v>
      </c>
      <c r="O589" s="226">
        <v>0.84850000000000003</v>
      </c>
      <c r="P589" s="30">
        <v>458416726.31</v>
      </c>
      <c r="Q589" s="183">
        <f t="shared" si="167"/>
        <v>0.37005251897218888</v>
      </c>
      <c r="R589" s="171">
        <v>458416726.31</v>
      </c>
    </row>
    <row r="590" spans="1:18" s="177" customFormat="1">
      <c r="A590" s="79"/>
      <c r="B590" s="80"/>
      <c r="C590" s="79" t="s">
        <v>1436</v>
      </c>
      <c r="D590" s="28" t="s">
        <v>1088</v>
      </c>
      <c r="E590" s="29" t="s">
        <v>1089</v>
      </c>
      <c r="F590" s="227">
        <v>525254000</v>
      </c>
      <c r="G590" s="228">
        <v>61147921</v>
      </c>
      <c r="H590" s="228">
        <v>6252857</v>
      </c>
      <c r="I590" s="228">
        <v>531506857</v>
      </c>
      <c r="J590" s="228">
        <v>470358936</v>
      </c>
      <c r="K590" s="225" t="s">
        <v>112</v>
      </c>
      <c r="L590" s="228">
        <v>470358936</v>
      </c>
      <c r="M590" s="228">
        <v>52262104</v>
      </c>
      <c r="N590" s="228">
        <v>338755357</v>
      </c>
      <c r="O590" s="226">
        <v>0.88500000000000001</v>
      </c>
      <c r="P590" s="30">
        <v>939486443.25</v>
      </c>
      <c r="Q590" s="183">
        <f t="shared" si="167"/>
        <v>0.43425808768316149</v>
      </c>
      <c r="R590" s="171">
        <v>939486443.25</v>
      </c>
    </row>
    <row r="591" spans="1:18" s="177" customFormat="1">
      <c r="A591" s="79"/>
      <c r="B591" s="80"/>
      <c r="C591" s="79" t="s">
        <v>1436</v>
      </c>
      <c r="D591" s="28" t="s">
        <v>1440</v>
      </c>
      <c r="E591" s="29" t="s">
        <v>1441</v>
      </c>
      <c r="F591" s="227">
        <v>1571983000</v>
      </c>
      <c r="G591" s="228">
        <v>273868507</v>
      </c>
      <c r="H591" s="228">
        <v>167330169</v>
      </c>
      <c r="I591" s="228">
        <v>1739313169</v>
      </c>
      <c r="J591" s="228">
        <v>1488881145</v>
      </c>
      <c r="K591" s="228">
        <v>25065757</v>
      </c>
      <c r="L591" s="228">
        <v>1488881145</v>
      </c>
      <c r="M591" s="228">
        <v>145130758</v>
      </c>
      <c r="N591" s="228">
        <v>1181357678</v>
      </c>
      <c r="O591" s="226">
        <v>0.85599999999999998</v>
      </c>
      <c r="P591" s="30"/>
      <c r="Q591" s="183" t="e">
        <f t="shared" si="167"/>
        <v>#DIV/0!</v>
      </c>
      <c r="R591" s="171"/>
    </row>
    <row r="592" spans="1:18" s="177" customFormat="1">
      <c r="A592" s="79"/>
      <c r="B592" s="80"/>
      <c r="C592" s="79" t="s">
        <v>1436</v>
      </c>
      <c r="D592" s="28" t="s">
        <v>1250</v>
      </c>
      <c r="E592" s="29" t="s">
        <v>1251</v>
      </c>
      <c r="F592" s="227">
        <v>1204179000</v>
      </c>
      <c r="G592" s="228">
        <v>277686825</v>
      </c>
      <c r="H592" s="228">
        <v>72737595</v>
      </c>
      <c r="I592" s="228">
        <v>1276916595</v>
      </c>
      <c r="J592" s="228">
        <v>993356009</v>
      </c>
      <c r="K592" s="225" t="s">
        <v>112</v>
      </c>
      <c r="L592" s="228">
        <v>993356009</v>
      </c>
      <c r="M592" s="228">
        <v>118962089</v>
      </c>
      <c r="N592" s="228">
        <v>848511019</v>
      </c>
      <c r="O592" s="226">
        <v>0.77790000000000004</v>
      </c>
      <c r="P592" s="30"/>
      <c r="Q592" s="183" t="e">
        <f t="shared" si="167"/>
        <v>#DIV/0!</v>
      </c>
      <c r="R592" s="171"/>
    </row>
    <row r="593" spans="1:18" s="177" customFormat="1">
      <c r="A593" s="79"/>
      <c r="B593" s="80"/>
      <c r="C593" s="79" t="s">
        <v>1436</v>
      </c>
      <c r="D593" s="28" t="s">
        <v>346</v>
      </c>
      <c r="E593" s="29" t="s">
        <v>347</v>
      </c>
      <c r="F593" s="227">
        <v>1720616000</v>
      </c>
      <c r="G593" s="228">
        <v>235818665</v>
      </c>
      <c r="H593" s="228">
        <v>134475849</v>
      </c>
      <c r="I593" s="228">
        <v>1855091849</v>
      </c>
      <c r="J593" s="228">
        <v>1800615600</v>
      </c>
      <c r="K593" s="228">
        <v>-39395028</v>
      </c>
      <c r="L593" s="228">
        <v>1551278133</v>
      </c>
      <c r="M593" s="228">
        <v>171199144</v>
      </c>
      <c r="N593" s="228">
        <v>1258886038</v>
      </c>
      <c r="O593" s="226">
        <v>0.83620000000000005</v>
      </c>
      <c r="P593" s="30">
        <v>2077821499</v>
      </c>
      <c r="Q593" s="183">
        <f t="shared" si="167"/>
        <v>0.10719383263056707</v>
      </c>
      <c r="R593" s="171">
        <v>2077821499</v>
      </c>
    </row>
    <row r="594" spans="1:18" s="177" customFormat="1">
      <c r="A594" s="79"/>
      <c r="B594" s="80"/>
      <c r="C594" s="79" t="s">
        <v>1436</v>
      </c>
      <c r="D594" s="28" t="s">
        <v>1370</v>
      </c>
      <c r="E594" s="29" t="s">
        <v>1371</v>
      </c>
      <c r="F594" s="227">
        <v>492504000</v>
      </c>
      <c r="G594" s="228">
        <v>54789571</v>
      </c>
      <c r="H594" s="228">
        <v>-2932708</v>
      </c>
      <c r="I594" s="228">
        <v>489571292</v>
      </c>
      <c r="J594" s="228">
        <v>483497572</v>
      </c>
      <c r="K594" s="225" t="s">
        <v>112</v>
      </c>
      <c r="L594" s="228">
        <v>428708001</v>
      </c>
      <c r="M594" s="228">
        <v>42737117</v>
      </c>
      <c r="N594" s="228">
        <v>334423159</v>
      </c>
      <c r="O594" s="226">
        <v>0.87570000000000003</v>
      </c>
      <c r="P594" s="30"/>
      <c r="Q594" s="183" t="e">
        <f t="shared" si="167"/>
        <v>#DIV/0!</v>
      </c>
      <c r="R594" s="171"/>
    </row>
    <row r="595" spans="1:18" s="177" customFormat="1">
      <c r="A595" s="79"/>
      <c r="B595" s="80"/>
      <c r="C595" s="79" t="s">
        <v>1436</v>
      </c>
      <c r="D595" s="28" t="s">
        <v>1442</v>
      </c>
      <c r="E595" s="29" t="s">
        <v>1443</v>
      </c>
      <c r="F595" s="227">
        <v>394255000</v>
      </c>
      <c r="G595" s="228">
        <v>88490498</v>
      </c>
      <c r="H595" s="228">
        <v>176601014</v>
      </c>
      <c r="I595" s="228">
        <v>570856014</v>
      </c>
      <c r="J595" s="228">
        <v>570647133</v>
      </c>
      <c r="K595" s="225" t="s">
        <v>112</v>
      </c>
      <c r="L595" s="228">
        <v>417106814</v>
      </c>
      <c r="M595" s="228">
        <v>48376921</v>
      </c>
      <c r="N595" s="228">
        <v>365705293</v>
      </c>
      <c r="O595" s="226">
        <v>0.73070000000000002</v>
      </c>
      <c r="P595" s="30"/>
      <c r="Q595" s="183" t="e">
        <f t="shared" si="167"/>
        <v>#DIV/0!</v>
      </c>
      <c r="R595" s="171"/>
    </row>
    <row r="596" spans="1:18" s="177" customFormat="1">
      <c r="A596" s="79"/>
      <c r="B596" s="80"/>
      <c r="C596" s="79" t="s">
        <v>1436</v>
      </c>
      <c r="D596" s="28" t="s">
        <v>1048</v>
      </c>
      <c r="E596" s="29" t="s">
        <v>1049</v>
      </c>
      <c r="F596" s="227">
        <v>362765000</v>
      </c>
      <c r="G596" s="228">
        <v>153540319</v>
      </c>
      <c r="H596" s="228">
        <v>34786353</v>
      </c>
      <c r="I596" s="228">
        <v>397551353</v>
      </c>
      <c r="J596" s="228">
        <v>397551353</v>
      </c>
      <c r="K596" s="225" t="s">
        <v>112</v>
      </c>
      <c r="L596" s="228">
        <v>309060855</v>
      </c>
      <c r="M596" s="228">
        <v>30580231</v>
      </c>
      <c r="N596" s="228">
        <v>273158329</v>
      </c>
      <c r="O596" s="226">
        <v>0.77739999999999998</v>
      </c>
      <c r="P596" s="30"/>
      <c r="Q596" s="183" t="e">
        <f t="shared" si="167"/>
        <v>#DIV/0!</v>
      </c>
      <c r="R596" s="171"/>
    </row>
    <row r="597" spans="1:18" s="177" customFormat="1">
      <c r="A597" s="79"/>
      <c r="B597" s="80"/>
      <c r="C597" s="79" t="s">
        <v>1436</v>
      </c>
      <c r="D597" s="28" t="s">
        <v>1444</v>
      </c>
      <c r="E597" s="29" t="s">
        <v>1445</v>
      </c>
      <c r="F597" s="227">
        <v>556744000</v>
      </c>
      <c r="G597" s="228">
        <v>158799970</v>
      </c>
      <c r="H597" s="228">
        <v>100614003</v>
      </c>
      <c r="I597" s="228">
        <v>657358003</v>
      </c>
      <c r="J597" s="228">
        <v>657358003</v>
      </c>
      <c r="K597" s="225" t="s">
        <v>112</v>
      </c>
      <c r="L597" s="228">
        <v>498558033</v>
      </c>
      <c r="M597" s="228">
        <v>55395337</v>
      </c>
      <c r="N597" s="228">
        <v>456088275</v>
      </c>
      <c r="O597" s="226">
        <v>0.75839999999999996</v>
      </c>
      <c r="P597" s="30"/>
      <c r="Q597" s="183" t="e">
        <f t="shared" si="167"/>
        <v>#DIV/0!</v>
      </c>
      <c r="R597" s="171"/>
    </row>
    <row r="598" spans="1:18" s="177" customFormat="1">
      <c r="A598" s="79"/>
      <c r="B598" s="80"/>
      <c r="C598" s="79" t="s">
        <v>1436</v>
      </c>
      <c r="D598" s="28" t="s">
        <v>1101</v>
      </c>
      <c r="E598" s="29" t="s">
        <v>1102</v>
      </c>
      <c r="F598" s="227">
        <v>1651338000</v>
      </c>
      <c r="G598" s="228">
        <v>401386411</v>
      </c>
      <c r="H598" s="228">
        <v>1088433045</v>
      </c>
      <c r="I598" s="228">
        <v>2739771045</v>
      </c>
      <c r="J598" s="228">
        <v>2307136030</v>
      </c>
      <c r="K598" s="225" t="s">
        <v>112</v>
      </c>
      <c r="L598" s="228">
        <v>2247604869</v>
      </c>
      <c r="M598" s="228">
        <v>240129977</v>
      </c>
      <c r="N598" s="228">
        <v>1801413466</v>
      </c>
      <c r="O598" s="226">
        <v>0.82040000000000002</v>
      </c>
      <c r="P598" s="30">
        <v>2732003730</v>
      </c>
      <c r="Q598" s="183">
        <f t="shared" si="167"/>
        <v>-2.8430836000359339E-3</v>
      </c>
      <c r="R598" s="171">
        <v>2732003730</v>
      </c>
    </row>
    <row r="599" spans="1:18" s="177" customFormat="1">
      <c r="A599" s="79"/>
      <c r="B599" s="80"/>
      <c r="C599" s="79" t="s">
        <v>1436</v>
      </c>
      <c r="D599" s="28" t="s">
        <v>999</v>
      </c>
      <c r="E599" s="29" t="s">
        <v>1000</v>
      </c>
      <c r="F599" s="227">
        <v>495024000</v>
      </c>
      <c r="G599" s="228">
        <v>60674202</v>
      </c>
      <c r="H599" s="228">
        <v>73521741</v>
      </c>
      <c r="I599" s="228">
        <v>568545741</v>
      </c>
      <c r="J599" s="228">
        <v>466899904</v>
      </c>
      <c r="K599" s="225" t="s">
        <v>112</v>
      </c>
      <c r="L599" s="228">
        <v>466899904</v>
      </c>
      <c r="M599" s="228">
        <v>46622312</v>
      </c>
      <c r="N599" s="228">
        <v>412436188</v>
      </c>
      <c r="O599" s="226">
        <v>0.82120000000000004</v>
      </c>
      <c r="P599" s="30">
        <v>710378587</v>
      </c>
      <c r="Q599" s="183">
        <f t="shared" si="167"/>
        <v>0.19965810990865354</v>
      </c>
      <c r="R599" s="171">
        <v>710378587</v>
      </c>
    </row>
    <row r="600" spans="1:18" s="177" customFormat="1">
      <c r="A600" s="79"/>
      <c r="B600" s="80"/>
      <c r="C600" s="79" t="s">
        <v>1436</v>
      </c>
      <c r="D600" s="28" t="s">
        <v>1446</v>
      </c>
      <c r="E600" s="29" t="s">
        <v>1447</v>
      </c>
      <c r="F600" s="227">
        <v>859049000</v>
      </c>
      <c r="G600" s="228">
        <v>249354167</v>
      </c>
      <c r="H600" s="228">
        <v>289413951</v>
      </c>
      <c r="I600" s="228">
        <v>1148462951</v>
      </c>
      <c r="J600" s="228">
        <v>1145638875</v>
      </c>
      <c r="K600" s="225" t="s">
        <v>112</v>
      </c>
      <c r="L600" s="228">
        <v>899108784</v>
      </c>
      <c r="M600" s="228">
        <v>100764352</v>
      </c>
      <c r="N600" s="228">
        <v>763611642</v>
      </c>
      <c r="O600" s="226">
        <v>0.78290000000000004</v>
      </c>
      <c r="P600" s="30">
        <v>1162830631</v>
      </c>
      <c r="Q600" s="183">
        <f t="shared" ref="Q600:Q668" si="183">+(P600-I600)/P600</f>
        <v>1.2355780469632297E-2</v>
      </c>
      <c r="R600" s="171">
        <v>1162830631</v>
      </c>
    </row>
    <row r="601" spans="1:18" s="176" customFormat="1">
      <c r="A601" s="10"/>
      <c r="B601" s="14" t="s">
        <v>1448</v>
      </c>
      <c r="C601" s="10" t="s">
        <v>1449</v>
      </c>
      <c r="D601" s="25"/>
      <c r="E601" s="9" t="s">
        <v>1450</v>
      </c>
      <c r="F601" s="216">
        <v>2398428000</v>
      </c>
      <c r="G601" s="218">
        <v>159451668</v>
      </c>
      <c r="H601" s="218">
        <v>141905648</v>
      </c>
      <c r="I601" s="218">
        <v>2540333648</v>
      </c>
      <c r="J601" s="218">
        <v>2246276605</v>
      </c>
      <c r="K601" s="218">
        <v>23060504</v>
      </c>
      <c r="L601" s="218">
        <v>2246276605</v>
      </c>
      <c r="M601" s="218">
        <v>143476421</v>
      </c>
      <c r="N601" s="218">
        <v>1591031135</v>
      </c>
      <c r="O601" s="219">
        <v>0.88419999999999999</v>
      </c>
      <c r="P601" s="8">
        <f t="shared" ref="P601" si="184">SUM(P602:P603)</f>
        <v>3307721132.04</v>
      </c>
      <c r="Q601" s="183">
        <f t="shared" si="183"/>
        <v>0.23199884555162675</v>
      </c>
      <c r="R601" s="347">
        <f>SUM(R602:R603)</f>
        <v>3307721132.04</v>
      </c>
    </row>
    <row r="602" spans="1:18" s="177" customFormat="1">
      <c r="A602" s="79"/>
      <c r="B602" s="80"/>
      <c r="C602" s="79" t="s">
        <v>1449</v>
      </c>
      <c r="D602" s="28" t="s">
        <v>1226</v>
      </c>
      <c r="E602" s="29" t="s">
        <v>1183</v>
      </c>
      <c r="F602" s="227">
        <v>1403342000</v>
      </c>
      <c r="G602" s="228">
        <v>259451668</v>
      </c>
      <c r="H602" s="228">
        <v>241905648</v>
      </c>
      <c r="I602" s="228">
        <v>1645247648</v>
      </c>
      <c r="J602" s="228">
        <v>1408077499</v>
      </c>
      <c r="K602" s="228">
        <v>23060504</v>
      </c>
      <c r="L602" s="228">
        <v>1408077499</v>
      </c>
      <c r="M602" s="228">
        <v>52613031</v>
      </c>
      <c r="N602" s="228">
        <v>939856039</v>
      </c>
      <c r="O602" s="226">
        <v>0.85580000000000001</v>
      </c>
      <c r="P602" s="161">
        <v>2044025134.47</v>
      </c>
      <c r="Q602" s="183">
        <f t="shared" si="183"/>
        <v>0.19509421863024201</v>
      </c>
      <c r="R602" s="357">
        <v>2044025134.47</v>
      </c>
    </row>
    <row r="603" spans="1:18" s="177" customFormat="1">
      <c r="A603" s="79"/>
      <c r="B603" s="80"/>
      <c r="C603" s="79" t="s">
        <v>1449</v>
      </c>
      <c r="D603" s="28" t="s">
        <v>1177</v>
      </c>
      <c r="E603" s="29" t="s">
        <v>1451</v>
      </c>
      <c r="F603" s="227">
        <v>995086000</v>
      </c>
      <c r="G603" s="228">
        <v>-100000000</v>
      </c>
      <c r="H603" s="228">
        <v>-100000000</v>
      </c>
      <c r="I603" s="228">
        <v>895086000</v>
      </c>
      <c r="J603" s="228">
        <v>838199106</v>
      </c>
      <c r="K603" s="225" t="s">
        <v>112</v>
      </c>
      <c r="L603" s="228">
        <v>838199106</v>
      </c>
      <c r="M603" s="228">
        <v>90863390</v>
      </c>
      <c r="N603" s="228">
        <v>651175096</v>
      </c>
      <c r="O603" s="226">
        <v>0.93640000000000001</v>
      </c>
      <c r="P603" s="161">
        <v>1263695997.5699999</v>
      </c>
      <c r="Q603" s="183">
        <f t="shared" si="183"/>
        <v>0.2916919878505681</v>
      </c>
      <c r="R603" s="357">
        <v>1263695997.5699999</v>
      </c>
    </row>
    <row r="604" spans="1:18" s="176" customFormat="1">
      <c r="A604" s="10"/>
      <c r="B604" s="14" t="s">
        <v>1452</v>
      </c>
      <c r="C604" s="10" t="s">
        <v>1453</v>
      </c>
      <c r="D604" s="25"/>
      <c r="E604" s="9" t="s">
        <v>1454</v>
      </c>
      <c r="F604" s="216">
        <v>1039377000</v>
      </c>
      <c r="G604" s="218">
        <v>51886134</v>
      </c>
      <c r="H604" s="218">
        <v>51886134</v>
      </c>
      <c r="I604" s="218">
        <v>1091263134</v>
      </c>
      <c r="J604" s="218">
        <v>1083985569</v>
      </c>
      <c r="K604" s="217" t="s">
        <v>112</v>
      </c>
      <c r="L604" s="218">
        <v>1027403782</v>
      </c>
      <c r="M604" s="218">
        <v>87479509</v>
      </c>
      <c r="N604" s="218">
        <v>834681500</v>
      </c>
      <c r="O604" s="219">
        <v>0.9415</v>
      </c>
      <c r="P604" s="8">
        <f>SUM(P605:P607)</f>
        <v>0</v>
      </c>
      <c r="Q604" s="183" t="e">
        <f t="shared" si="183"/>
        <v>#DIV/0!</v>
      </c>
      <c r="R604" s="347">
        <f>SUM(R605:R607)</f>
        <v>0</v>
      </c>
    </row>
    <row r="605" spans="1:18" s="177" customFormat="1">
      <c r="A605" s="79"/>
      <c r="B605" s="80"/>
      <c r="C605" s="79" t="s">
        <v>1453</v>
      </c>
      <c r="D605" s="28" t="s">
        <v>1356</v>
      </c>
      <c r="E605" s="29" t="s">
        <v>1357</v>
      </c>
      <c r="F605" s="227">
        <v>489516000</v>
      </c>
      <c r="G605" s="225" t="s">
        <v>48</v>
      </c>
      <c r="H605" s="225" t="s">
        <v>48</v>
      </c>
      <c r="I605" s="228">
        <v>489516000</v>
      </c>
      <c r="J605" s="228">
        <v>482348769</v>
      </c>
      <c r="K605" s="225" t="s">
        <v>112</v>
      </c>
      <c r="L605" s="228">
        <v>482348769</v>
      </c>
      <c r="M605" s="228">
        <v>47374287</v>
      </c>
      <c r="N605" s="228">
        <v>394301108</v>
      </c>
      <c r="O605" s="226">
        <v>0.98540000000000005</v>
      </c>
      <c r="P605" s="30"/>
      <c r="Q605" s="183" t="e">
        <f t="shared" si="183"/>
        <v>#DIV/0!</v>
      </c>
      <c r="R605" s="171"/>
    </row>
    <row r="606" spans="1:18" s="177" customFormat="1">
      <c r="A606" s="79"/>
      <c r="B606" s="80"/>
      <c r="C606" s="79" t="s">
        <v>1453</v>
      </c>
      <c r="D606" s="28" t="s">
        <v>1455</v>
      </c>
      <c r="E606" s="29" t="s">
        <v>1456</v>
      </c>
      <c r="F606" s="227">
        <v>324977000</v>
      </c>
      <c r="G606" s="228">
        <v>51886134</v>
      </c>
      <c r="H606" s="228">
        <v>51886134</v>
      </c>
      <c r="I606" s="228">
        <v>376863134</v>
      </c>
      <c r="J606" s="228">
        <v>376796919</v>
      </c>
      <c r="K606" s="225" t="s">
        <v>112</v>
      </c>
      <c r="L606" s="228">
        <v>320215132</v>
      </c>
      <c r="M606" s="228">
        <v>40105222</v>
      </c>
      <c r="N606" s="228">
        <v>296152001</v>
      </c>
      <c r="O606" s="226">
        <v>0.84970000000000001</v>
      </c>
      <c r="P606" s="30"/>
      <c r="Q606" s="183" t="e">
        <f t="shared" si="183"/>
        <v>#DIV/0!</v>
      </c>
      <c r="R606" s="171"/>
    </row>
    <row r="607" spans="1:18" s="177" customFormat="1">
      <c r="A607" s="79"/>
      <c r="B607" s="80"/>
      <c r="C607" s="79" t="s">
        <v>1453</v>
      </c>
      <c r="D607" s="28" t="s">
        <v>1457</v>
      </c>
      <c r="E607" s="29" t="s">
        <v>1458</v>
      </c>
      <c r="F607" s="227">
        <v>224884000</v>
      </c>
      <c r="G607" s="225" t="s">
        <v>48</v>
      </c>
      <c r="H607" s="225" t="s">
        <v>48</v>
      </c>
      <c r="I607" s="228">
        <v>224884000</v>
      </c>
      <c r="J607" s="228">
        <v>224839881</v>
      </c>
      <c r="K607" s="225" t="s">
        <v>112</v>
      </c>
      <c r="L607" s="228">
        <v>224839881</v>
      </c>
      <c r="M607" s="225" t="s">
        <v>113</v>
      </c>
      <c r="N607" s="228">
        <v>144228391</v>
      </c>
      <c r="O607" s="226">
        <v>0.99980000000000002</v>
      </c>
      <c r="P607" s="30"/>
      <c r="Q607" s="183" t="e">
        <f t="shared" si="183"/>
        <v>#DIV/0!</v>
      </c>
      <c r="R607" s="171"/>
    </row>
    <row r="608" spans="1:18" s="176" customFormat="1">
      <c r="A608" s="10"/>
      <c r="B608" s="14" t="s">
        <v>1459</v>
      </c>
      <c r="C608" s="10" t="s">
        <v>1460</v>
      </c>
      <c r="D608" s="25"/>
      <c r="E608" s="9" t="s">
        <v>1461</v>
      </c>
      <c r="F608" s="216">
        <v>1967499000</v>
      </c>
      <c r="G608" s="218">
        <v>169000000</v>
      </c>
      <c r="H608" s="218">
        <v>266704636</v>
      </c>
      <c r="I608" s="218">
        <v>2234203636</v>
      </c>
      <c r="J608" s="218">
        <v>1937925979</v>
      </c>
      <c r="K608" s="218">
        <v>-15950182</v>
      </c>
      <c r="L608" s="218">
        <v>1937925979</v>
      </c>
      <c r="M608" s="218">
        <v>191677883</v>
      </c>
      <c r="N608" s="218">
        <v>1571209701</v>
      </c>
      <c r="O608" s="219">
        <v>0.86739999999999995</v>
      </c>
      <c r="P608" s="8">
        <f t="shared" ref="P608" si="185">+P609</f>
        <v>2533155644.98</v>
      </c>
      <c r="Q608" s="183">
        <f t="shared" si="183"/>
        <v>0.11801564959991249</v>
      </c>
      <c r="R608" s="347">
        <f>+R609</f>
        <v>2533155644.98</v>
      </c>
    </row>
    <row r="609" spans="1:18" s="177" customFormat="1">
      <c r="A609" s="79"/>
      <c r="B609" s="80"/>
      <c r="C609" s="79" t="s">
        <v>1460</v>
      </c>
      <c r="D609" s="28" t="s">
        <v>419</v>
      </c>
      <c r="E609" s="29" t="s">
        <v>1221</v>
      </c>
      <c r="F609" s="227">
        <v>1967499000</v>
      </c>
      <c r="G609" s="228">
        <v>169000000</v>
      </c>
      <c r="H609" s="228">
        <v>266704636</v>
      </c>
      <c r="I609" s="228">
        <v>2234203636</v>
      </c>
      <c r="J609" s="228">
        <v>1937925979</v>
      </c>
      <c r="K609" s="228">
        <v>-15950182</v>
      </c>
      <c r="L609" s="228">
        <v>1937925979</v>
      </c>
      <c r="M609" s="228">
        <v>191677883</v>
      </c>
      <c r="N609" s="228">
        <v>1571209701</v>
      </c>
      <c r="O609" s="226">
        <v>0.86739999999999995</v>
      </c>
      <c r="P609" s="30">
        <v>2533155644.98</v>
      </c>
      <c r="Q609" s="183">
        <f t="shared" si="183"/>
        <v>0.11801564959991249</v>
      </c>
      <c r="R609" s="171">
        <v>2533155644.98</v>
      </c>
    </row>
    <row r="610" spans="1:18" s="176" customFormat="1" ht="21.75">
      <c r="A610" s="10"/>
      <c r="B610" s="14" t="s">
        <v>1462</v>
      </c>
      <c r="C610" s="10" t="s">
        <v>1463</v>
      </c>
      <c r="D610" s="25"/>
      <c r="E610" s="187" t="s">
        <v>1464</v>
      </c>
      <c r="F610" s="216">
        <v>1022797000</v>
      </c>
      <c r="G610" s="218">
        <v>69151263</v>
      </c>
      <c r="H610" s="218">
        <v>69151263</v>
      </c>
      <c r="I610" s="218">
        <v>1091948263</v>
      </c>
      <c r="J610" s="218">
        <v>1015998995</v>
      </c>
      <c r="K610" s="218">
        <v>7519728</v>
      </c>
      <c r="L610" s="218">
        <v>1015998995</v>
      </c>
      <c r="M610" s="218">
        <v>103396279</v>
      </c>
      <c r="N610" s="218">
        <v>754128594</v>
      </c>
      <c r="O610" s="219">
        <v>0.9304</v>
      </c>
      <c r="P610" s="8">
        <f t="shared" ref="P610" si="186">SUM(P611:P615)</f>
        <v>1800461714.1700001</v>
      </c>
      <c r="Q610" s="183">
        <f t="shared" si="183"/>
        <v>0.39351764360988906</v>
      </c>
      <c r="R610" s="347">
        <f>SUM(R611:R615)</f>
        <v>1800461714.1700001</v>
      </c>
    </row>
    <row r="611" spans="1:18" s="177" customFormat="1">
      <c r="A611" s="79"/>
      <c r="B611" s="80"/>
      <c r="C611" s="79" t="s">
        <v>1463</v>
      </c>
      <c r="D611" s="28" t="s">
        <v>1465</v>
      </c>
      <c r="E611" s="29" t="s">
        <v>1466</v>
      </c>
      <c r="F611" s="227">
        <v>231767000</v>
      </c>
      <c r="G611" s="228">
        <v>8062242</v>
      </c>
      <c r="H611" s="228">
        <v>8062242</v>
      </c>
      <c r="I611" s="228">
        <v>239829242</v>
      </c>
      <c r="J611" s="228">
        <v>227722477</v>
      </c>
      <c r="K611" s="225" t="s">
        <v>112</v>
      </c>
      <c r="L611" s="228">
        <v>227722477</v>
      </c>
      <c r="M611" s="228">
        <v>23060504</v>
      </c>
      <c r="N611" s="228">
        <v>163345236</v>
      </c>
      <c r="O611" s="226">
        <v>0.94950000000000001</v>
      </c>
      <c r="P611" s="30">
        <f>6*66282806.65</f>
        <v>397696839.89999998</v>
      </c>
      <c r="Q611" s="183">
        <f t="shared" si="183"/>
        <v>0.39695461985490116</v>
      </c>
      <c r="R611" s="171">
        <f>6*66282806.65</f>
        <v>397696839.89999998</v>
      </c>
    </row>
    <row r="612" spans="1:18" s="177" customFormat="1">
      <c r="A612" s="79"/>
      <c r="B612" s="80"/>
      <c r="C612" s="79" t="s">
        <v>1463</v>
      </c>
      <c r="D612" s="28" t="s">
        <v>1467</v>
      </c>
      <c r="E612" s="29" t="s">
        <v>1468</v>
      </c>
      <c r="F612" s="227">
        <v>173825000</v>
      </c>
      <c r="G612" s="228">
        <v>15463304</v>
      </c>
      <c r="H612" s="228">
        <v>15463304</v>
      </c>
      <c r="I612" s="228">
        <v>189288304</v>
      </c>
      <c r="J612" s="228">
        <v>172953780</v>
      </c>
      <c r="K612" s="225" t="s">
        <v>112</v>
      </c>
      <c r="L612" s="228">
        <v>172953780</v>
      </c>
      <c r="M612" s="228">
        <v>17295378</v>
      </c>
      <c r="N612" s="228">
        <v>130099676</v>
      </c>
      <c r="O612" s="226">
        <v>0.91369999999999996</v>
      </c>
      <c r="P612" s="30">
        <v>301285485</v>
      </c>
      <c r="Q612" s="183">
        <f t="shared" si="183"/>
        <v>0.37173108754309886</v>
      </c>
      <c r="R612" s="171">
        <v>301285485</v>
      </c>
    </row>
    <row r="613" spans="1:18" s="177" customFormat="1">
      <c r="A613" s="79"/>
      <c r="B613" s="80"/>
      <c r="C613" s="79" t="s">
        <v>1463</v>
      </c>
      <c r="D613" s="28" t="s">
        <v>1469</v>
      </c>
      <c r="E613" s="29" t="s">
        <v>1470</v>
      </c>
      <c r="F613" s="227">
        <v>211613000</v>
      </c>
      <c r="G613" s="228">
        <v>5105597</v>
      </c>
      <c r="H613" s="228">
        <v>5105597</v>
      </c>
      <c r="I613" s="228">
        <v>216718597</v>
      </c>
      <c r="J613" s="228">
        <v>202865585</v>
      </c>
      <c r="K613" s="225" t="s">
        <v>112</v>
      </c>
      <c r="L613" s="228">
        <v>202865585</v>
      </c>
      <c r="M613" s="228">
        <v>21055242</v>
      </c>
      <c r="N613" s="228">
        <v>148096891</v>
      </c>
      <c r="O613" s="226">
        <v>0.93610000000000004</v>
      </c>
      <c r="P613" s="30">
        <f>+(4*86455805.26)+(2*66282806.65)</f>
        <v>478388834.34000003</v>
      </c>
      <c r="Q613" s="183">
        <f t="shared" si="183"/>
        <v>0.54698232600058139</v>
      </c>
      <c r="R613" s="171">
        <f>+(4*86455805.26)+(2*66282806.65)</f>
        <v>478388834.34000003</v>
      </c>
    </row>
    <row r="614" spans="1:18" s="177" customFormat="1">
      <c r="A614" s="79"/>
      <c r="B614" s="80"/>
      <c r="C614" s="79" t="s">
        <v>1463</v>
      </c>
      <c r="D614" s="28" t="s">
        <v>1471</v>
      </c>
      <c r="E614" s="29" t="s">
        <v>1472</v>
      </c>
      <c r="F614" s="227">
        <v>289709000</v>
      </c>
      <c r="G614" s="228">
        <v>29762519</v>
      </c>
      <c r="H614" s="228">
        <v>29762519</v>
      </c>
      <c r="I614" s="228">
        <v>319471519</v>
      </c>
      <c r="J614" s="228">
        <v>297154633</v>
      </c>
      <c r="K614" s="228">
        <v>7519728</v>
      </c>
      <c r="L614" s="228">
        <v>297154633</v>
      </c>
      <c r="M614" s="228">
        <v>30454903</v>
      </c>
      <c r="N614" s="228">
        <v>224188193</v>
      </c>
      <c r="O614" s="226">
        <v>0.93010000000000004</v>
      </c>
      <c r="P614" s="30">
        <f>+(7*66282806.65)+43227908.38</f>
        <v>507207554.93000001</v>
      </c>
      <c r="Q614" s="183">
        <f t="shared" si="183"/>
        <v>0.3701365133567649</v>
      </c>
      <c r="R614" s="171">
        <f>+(7*66282806.65)+43227908.38</f>
        <v>507207554.93000001</v>
      </c>
    </row>
    <row r="615" spans="1:18" s="177" customFormat="1">
      <c r="A615" s="79"/>
      <c r="B615" s="80"/>
      <c r="C615" s="79" t="s">
        <v>1463</v>
      </c>
      <c r="D615" s="28" t="s">
        <v>1473</v>
      </c>
      <c r="E615" s="29" t="s">
        <v>1474</v>
      </c>
      <c r="F615" s="227">
        <v>115883000</v>
      </c>
      <c r="G615" s="228">
        <v>10757601</v>
      </c>
      <c r="H615" s="228">
        <v>10757601</v>
      </c>
      <c r="I615" s="228">
        <v>126640601</v>
      </c>
      <c r="J615" s="228">
        <v>115302520</v>
      </c>
      <c r="K615" s="225" t="s">
        <v>112</v>
      </c>
      <c r="L615" s="228">
        <v>115302520</v>
      </c>
      <c r="M615" s="228">
        <v>11530252</v>
      </c>
      <c r="N615" s="228">
        <v>88398598</v>
      </c>
      <c r="O615" s="226">
        <v>0.91049999999999998</v>
      </c>
      <c r="P615" s="30">
        <v>115883000</v>
      </c>
      <c r="Q615" s="183">
        <f t="shared" si="183"/>
        <v>-9.2831571498839346E-2</v>
      </c>
      <c r="R615" s="171">
        <v>115883000</v>
      </c>
    </row>
    <row r="616" spans="1:18" s="176" customFormat="1">
      <c r="A616" s="10"/>
      <c r="B616" s="14" t="s">
        <v>1475</v>
      </c>
      <c r="C616" s="10" t="s">
        <v>1476</v>
      </c>
      <c r="D616" s="25"/>
      <c r="E616" s="9" t="s">
        <v>1477</v>
      </c>
      <c r="F616" s="216">
        <v>491245000</v>
      </c>
      <c r="G616" s="217" t="s">
        <v>48</v>
      </c>
      <c r="H616" s="217" t="s">
        <v>48</v>
      </c>
      <c r="I616" s="218">
        <v>491245000</v>
      </c>
      <c r="J616" s="218">
        <v>478045765</v>
      </c>
      <c r="K616" s="217" t="s">
        <v>112</v>
      </c>
      <c r="L616" s="218">
        <v>432927403</v>
      </c>
      <c r="M616" s="218">
        <v>46496980</v>
      </c>
      <c r="N616" s="218">
        <v>300997966</v>
      </c>
      <c r="O616" s="219">
        <v>0.88129999999999997</v>
      </c>
      <c r="P616" s="8">
        <f t="shared" ref="P616" si="187">+P617</f>
        <v>1014021950.52</v>
      </c>
      <c r="Q616" s="183">
        <f t="shared" si="183"/>
        <v>0.51554796249915014</v>
      </c>
      <c r="R616" s="347">
        <f>+R617</f>
        <v>1014021950.52</v>
      </c>
    </row>
    <row r="617" spans="1:18" s="177" customFormat="1">
      <c r="A617" s="79"/>
      <c r="B617" s="80"/>
      <c r="C617" s="79" t="s">
        <v>1476</v>
      </c>
      <c r="D617" s="28" t="s">
        <v>423</v>
      </c>
      <c r="E617" s="29" t="s">
        <v>1478</v>
      </c>
      <c r="F617" s="227">
        <v>491245000</v>
      </c>
      <c r="G617" s="225" t="s">
        <v>48</v>
      </c>
      <c r="H617" s="225" t="s">
        <v>48</v>
      </c>
      <c r="I617" s="228">
        <v>491245000</v>
      </c>
      <c r="J617" s="228">
        <v>478045765</v>
      </c>
      <c r="K617" s="225" t="s">
        <v>112</v>
      </c>
      <c r="L617" s="228">
        <v>432927403</v>
      </c>
      <c r="M617" s="228">
        <v>46496980</v>
      </c>
      <c r="N617" s="228">
        <v>300997966</v>
      </c>
      <c r="O617" s="226">
        <v>0.88129999999999997</v>
      </c>
      <c r="P617" s="30">
        <v>1014021950.52</v>
      </c>
      <c r="Q617" s="183">
        <f t="shared" si="183"/>
        <v>0.51554796249915014</v>
      </c>
      <c r="R617" s="171">
        <v>1014021950.52</v>
      </c>
    </row>
    <row r="618" spans="1:18">
      <c r="A618" s="10"/>
      <c r="B618" s="14" t="s">
        <v>1479</v>
      </c>
      <c r="C618" s="10" t="s">
        <v>1480</v>
      </c>
      <c r="D618" s="25"/>
      <c r="E618" s="9" t="s">
        <v>1481</v>
      </c>
      <c r="F618" s="216">
        <v>4035388000</v>
      </c>
      <c r="G618" s="218">
        <v>227451049</v>
      </c>
      <c r="H618" s="218">
        <v>827402798</v>
      </c>
      <c r="I618" s="218">
        <v>4862790798</v>
      </c>
      <c r="J618" s="218">
        <v>4550630585</v>
      </c>
      <c r="K618" s="217" t="s">
        <v>112</v>
      </c>
      <c r="L618" s="218">
        <v>4420718907</v>
      </c>
      <c r="M618" s="218">
        <v>466511413</v>
      </c>
      <c r="N618" s="218">
        <v>2920445318</v>
      </c>
      <c r="O618" s="219">
        <v>0.90910000000000002</v>
      </c>
      <c r="P618" s="8">
        <f t="shared" ref="P618" si="188">SUM(P619:P620)</f>
        <v>5227957348</v>
      </c>
      <c r="Q618" s="183">
        <f t="shared" si="183"/>
        <v>6.9848800533863886E-2</v>
      </c>
      <c r="R618" s="347">
        <f>SUM(R619:R620)</f>
        <v>5227957348</v>
      </c>
    </row>
    <row r="619" spans="1:18" s="177" customFormat="1">
      <c r="A619" s="79"/>
      <c r="B619" s="80"/>
      <c r="C619" s="79" t="s">
        <v>1480</v>
      </c>
      <c r="D619" s="28" t="s">
        <v>1022</v>
      </c>
      <c r="E619" s="29" t="s">
        <v>1023</v>
      </c>
      <c r="F619" s="227">
        <v>3844180000</v>
      </c>
      <c r="G619" s="228">
        <v>209384975</v>
      </c>
      <c r="H619" s="228">
        <v>809336724</v>
      </c>
      <c r="I619" s="228">
        <v>4653516724</v>
      </c>
      <c r="J619" s="228">
        <v>4351541568</v>
      </c>
      <c r="K619" s="225" t="s">
        <v>112</v>
      </c>
      <c r="L619" s="228">
        <v>4230469749</v>
      </c>
      <c r="M619" s="228">
        <v>431536316</v>
      </c>
      <c r="N619" s="228">
        <v>2788231764</v>
      </c>
      <c r="O619" s="226">
        <v>0.90910000000000002</v>
      </c>
      <c r="P619" s="30">
        <v>4986928964</v>
      </c>
      <c r="Q619" s="183">
        <f t="shared" si="183"/>
        <v>6.6857226643262851E-2</v>
      </c>
      <c r="R619" s="171">
        <v>4986928964</v>
      </c>
    </row>
    <row r="620" spans="1:18" s="177" customFormat="1">
      <c r="A620" s="79"/>
      <c r="B620" s="80"/>
      <c r="C620" s="79" t="s">
        <v>1480</v>
      </c>
      <c r="D620" s="28" t="s">
        <v>1482</v>
      </c>
      <c r="E620" s="29" t="s">
        <v>1483</v>
      </c>
      <c r="F620" s="227">
        <v>191208000</v>
      </c>
      <c r="G620" s="228">
        <v>18066074</v>
      </c>
      <c r="H620" s="228">
        <v>18066074</v>
      </c>
      <c r="I620" s="228">
        <v>209274074</v>
      </c>
      <c r="J620" s="228">
        <v>199089017</v>
      </c>
      <c r="K620" s="225" t="s">
        <v>112</v>
      </c>
      <c r="L620" s="228">
        <v>190249158</v>
      </c>
      <c r="M620" s="228">
        <v>34975097</v>
      </c>
      <c r="N620" s="228">
        <v>132213554</v>
      </c>
      <c r="O620" s="226">
        <v>0.90910000000000002</v>
      </c>
      <c r="P620" s="30">
        <v>241028384</v>
      </c>
      <c r="Q620" s="183">
        <f t="shared" si="183"/>
        <v>0.13174510600378087</v>
      </c>
      <c r="R620" s="171">
        <v>241028384</v>
      </c>
    </row>
    <row r="621" spans="1:18" s="177" customFormat="1">
      <c r="A621" s="39" t="s">
        <v>1484</v>
      </c>
      <c r="B621" s="95" t="s">
        <v>989</v>
      </c>
      <c r="C621" s="96" t="s">
        <v>1485</v>
      </c>
      <c r="D621" s="38"/>
      <c r="E621" s="39" t="s">
        <v>1486</v>
      </c>
      <c r="F621" s="276">
        <v>2164642000</v>
      </c>
      <c r="G621" s="278">
        <v>859344956</v>
      </c>
      <c r="H621" s="278">
        <v>859344956</v>
      </c>
      <c r="I621" s="278">
        <v>3023986956</v>
      </c>
      <c r="J621" s="278">
        <v>3009925008</v>
      </c>
      <c r="K621" s="278">
        <v>678458345</v>
      </c>
      <c r="L621" s="278">
        <v>2736858617</v>
      </c>
      <c r="M621" s="278">
        <v>262563843</v>
      </c>
      <c r="N621" s="278">
        <v>1994779369</v>
      </c>
      <c r="O621" s="279">
        <v>0.90500000000000003</v>
      </c>
      <c r="P621" s="97">
        <f t="shared" ref="P621" si="189">+P622+P624</f>
        <v>4231096696</v>
      </c>
      <c r="Q621" s="183">
        <f t="shared" si="183"/>
        <v>0.28529476557252381</v>
      </c>
      <c r="R621" s="355">
        <f>+R622+R624</f>
        <v>4231096696</v>
      </c>
    </row>
    <row r="622" spans="1:18">
      <c r="A622" s="10" t="s">
        <v>1487</v>
      </c>
      <c r="B622" s="14" t="s">
        <v>1488</v>
      </c>
      <c r="C622" s="10" t="s">
        <v>1489</v>
      </c>
      <c r="D622" s="25"/>
      <c r="E622" s="9" t="s">
        <v>1490</v>
      </c>
      <c r="F622" s="216">
        <v>94692000</v>
      </c>
      <c r="G622" s="217" t="s">
        <v>48</v>
      </c>
      <c r="H622" s="217" t="s">
        <v>48</v>
      </c>
      <c r="I622" s="218">
        <v>94692000</v>
      </c>
      <c r="J622" s="218">
        <v>94000000</v>
      </c>
      <c r="K622" s="218">
        <v>94000000</v>
      </c>
      <c r="L622" s="218">
        <v>94000000</v>
      </c>
      <c r="M622" s="217" t="s">
        <v>113</v>
      </c>
      <c r="N622" s="217" t="s">
        <v>114</v>
      </c>
      <c r="O622" s="219">
        <v>0.99270000000000003</v>
      </c>
      <c r="P622" s="8">
        <f t="shared" ref="P622" si="190">SUM(P623:P623)</f>
        <v>123004263</v>
      </c>
      <c r="Q622" s="183">
        <f t="shared" si="183"/>
        <v>0.23017302253987734</v>
      </c>
      <c r="R622" s="347">
        <f>SUM(R623:R623)</f>
        <v>123004263</v>
      </c>
    </row>
    <row r="623" spans="1:18" s="177" customFormat="1">
      <c r="A623" s="79"/>
      <c r="B623" s="80"/>
      <c r="C623" s="79" t="s">
        <v>1489</v>
      </c>
      <c r="D623" s="28" t="s">
        <v>1003</v>
      </c>
      <c r="E623" s="29" t="s">
        <v>1004</v>
      </c>
      <c r="F623" s="227">
        <v>94692000</v>
      </c>
      <c r="G623" s="225" t="s">
        <v>48</v>
      </c>
      <c r="H623" s="225" t="s">
        <v>48</v>
      </c>
      <c r="I623" s="228">
        <v>94692000</v>
      </c>
      <c r="J623" s="228">
        <v>94000000</v>
      </c>
      <c r="K623" s="228">
        <v>94000000</v>
      </c>
      <c r="L623" s="228">
        <v>94000000</v>
      </c>
      <c r="M623" s="225" t="s">
        <v>113</v>
      </c>
      <c r="N623" s="225" t="s">
        <v>114</v>
      </c>
      <c r="O623" s="226">
        <v>0.99270000000000003</v>
      </c>
      <c r="P623" s="30">
        <v>123004263</v>
      </c>
      <c r="Q623" s="183">
        <f t="shared" si="183"/>
        <v>0.23017302253987734</v>
      </c>
      <c r="R623" s="171">
        <v>123004263</v>
      </c>
    </row>
    <row r="624" spans="1:18">
      <c r="A624" s="10" t="s">
        <v>1491</v>
      </c>
      <c r="B624" s="14" t="s">
        <v>1492</v>
      </c>
      <c r="C624" s="10" t="s">
        <v>1493</v>
      </c>
      <c r="D624" s="25"/>
      <c r="E624" s="9" t="s">
        <v>1494</v>
      </c>
      <c r="F624" s="216">
        <v>2069950000</v>
      </c>
      <c r="G624" s="218">
        <v>859344956</v>
      </c>
      <c r="H624" s="218">
        <v>859344956</v>
      </c>
      <c r="I624" s="218">
        <v>2929294956</v>
      </c>
      <c r="J624" s="218">
        <v>2915925008</v>
      </c>
      <c r="K624" s="218">
        <v>584458345</v>
      </c>
      <c r="L624" s="218">
        <v>2642858617</v>
      </c>
      <c r="M624" s="218">
        <v>262563843</v>
      </c>
      <c r="N624" s="218">
        <v>1994779369</v>
      </c>
      <c r="O624" s="219">
        <v>0.9022</v>
      </c>
      <c r="P624" s="8">
        <f t="shared" ref="P624" si="191">SUM(P625:P626)</f>
        <v>4108092433</v>
      </c>
      <c r="Q624" s="183">
        <f t="shared" si="183"/>
        <v>0.28694521757368646</v>
      </c>
      <c r="R624" s="347">
        <f>SUM(R625:R626)</f>
        <v>4108092433</v>
      </c>
    </row>
    <row r="625" spans="1:18" s="177" customFormat="1">
      <c r="A625" s="79"/>
      <c r="B625" s="80"/>
      <c r="C625" s="79" t="s">
        <v>1493</v>
      </c>
      <c r="D625" s="28" t="s">
        <v>1050</v>
      </c>
      <c r="E625" s="29" t="s">
        <v>1051</v>
      </c>
      <c r="F625" s="227">
        <v>1157942000</v>
      </c>
      <c r="G625" s="228">
        <v>530296963</v>
      </c>
      <c r="H625" s="228">
        <v>613611467</v>
      </c>
      <c r="I625" s="228">
        <v>1771553467</v>
      </c>
      <c r="J625" s="228">
        <v>1767019199</v>
      </c>
      <c r="K625" s="228">
        <v>478296491</v>
      </c>
      <c r="L625" s="228">
        <v>1719552995</v>
      </c>
      <c r="M625" s="228">
        <v>160420872</v>
      </c>
      <c r="N625" s="228">
        <v>1217243498</v>
      </c>
      <c r="O625" s="226">
        <v>0.97060000000000002</v>
      </c>
      <c r="P625" s="30">
        <v>2025948105</v>
      </c>
      <c r="Q625" s="183">
        <f t="shared" si="183"/>
        <v>0.12556819070150863</v>
      </c>
      <c r="R625" s="171">
        <v>2025948105</v>
      </c>
    </row>
    <row r="626" spans="1:18" s="177" customFormat="1">
      <c r="A626" s="79"/>
      <c r="B626" s="80"/>
      <c r="C626" s="79" t="s">
        <v>1493</v>
      </c>
      <c r="D626" s="28" t="s">
        <v>1044</v>
      </c>
      <c r="E626" s="29" t="s">
        <v>1045</v>
      </c>
      <c r="F626" s="227">
        <v>912008000</v>
      </c>
      <c r="G626" s="228">
        <v>329047993</v>
      </c>
      <c r="H626" s="228">
        <v>245733489</v>
      </c>
      <c r="I626" s="228">
        <v>1157741489</v>
      </c>
      <c r="J626" s="228">
        <v>1148905809</v>
      </c>
      <c r="K626" s="228">
        <v>106161854</v>
      </c>
      <c r="L626" s="228">
        <v>923305622</v>
      </c>
      <c r="M626" s="228">
        <v>102142971</v>
      </c>
      <c r="N626" s="228">
        <v>777535871</v>
      </c>
      <c r="O626" s="226">
        <v>0.79749999999999999</v>
      </c>
      <c r="P626" s="30">
        <v>2082144328</v>
      </c>
      <c r="Q626" s="183">
        <f t="shared" si="183"/>
        <v>0.44396674455700846</v>
      </c>
      <c r="R626" s="171">
        <v>2082144328</v>
      </c>
    </row>
    <row r="627" spans="1:18">
      <c r="A627" s="72" t="s">
        <v>1495</v>
      </c>
      <c r="B627" s="73" t="s">
        <v>989</v>
      </c>
      <c r="C627" s="74" t="s">
        <v>1496</v>
      </c>
      <c r="D627" s="75"/>
      <c r="E627" s="20" t="s">
        <v>1497</v>
      </c>
      <c r="F627" s="206">
        <v>2000000</v>
      </c>
      <c r="G627" s="207" t="s">
        <v>35</v>
      </c>
      <c r="H627" s="207" t="s">
        <v>35</v>
      </c>
      <c r="I627" s="208">
        <v>2000000</v>
      </c>
      <c r="J627" s="207" t="s">
        <v>476</v>
      </c>
      <c r="K627" s="207" t="s">
        <v>314</v>
      </c>
      <c r="L627" s="207" t="s">
        <v>314</v>
      </c>
      <c r="M627" s="207" t="s">
        <v>315</v>
      </c>
      <c r="N627" s="207" t="s">
        <v>448</v>
      </c>
      <c r="O627" s="209">
        <v>0</v>
      </c>
      <c r="P627" s="76">
        <f t="shared" ref="P627" si="192">+P628</f>
        <v>0</v>
      </c>
      <c r="Q627" s="183" t="e">
        <f t="shared" si="183"/>
        <v>#DIV/0!</v>
      </c>
      <c r="R627" s="345">
        <f>+R628</f>
        <v>0</v>
      </c>
    </row>
    <row r="628" spans="1:18">
      <c r="A628" s="10" t="s">
        <v>1498</v>
      </c>
      <c r="B628" s="14" t="s">
        <v>1499</v>
      </c>
      <c r="C628" s="10" t="s">
        <v>1500</v>
      </c>
      <c r="D628" s="25"/>
      <c r="E628" s="9" t="s">
        <v>1501</v>
      </c>
      <c r="F628" s="216">
        <v>2000000</v>
      </c>
      <c r="G628" s="217" t="s">
        <v>48</v>
      </c>
      <c r="H628" s="217" t="s">
        <v>48</v>
      </c>
      <c r="I628" s="218">
        <v>2000000</v>
      </c>
      <c r="J628" s="217" t="s">
        <v>305</v>
      </c>
      <c r="K628" s="217" t="s">
        <v>112</v>
      </c>
      <c r="L628" s="217" t="s">
        <v>112</v>
      </c>
      <c r="M628" s="217" t="s">
        <v>113</v>
      </c>
      <c r="N628" s="217" t="s">
        <v>114</v>
      </c>
      <c r="O628" s="219">
        <v>0</v>
      </c>
      <c r="P628" s="8">
        <f t="shared" ref="P628" si="193">SUM(P629:P629)</f>
        <v>0</v>
      </c>
      <c r="Q628" s="183" t="e">
        <f t="shared" si="183"/>
        <v>#DIV/0!</v>
      </c>
      <c r="R628" s="347">
        <f>SUM(R629:R629)</f>
        <v>0</v>
      </c>
    </row>
    <row r="629" spans="1:18" s="177" customFormat="1">
      <c r="A629" s="79"/>
      <c r="B629" s="80"/>
      <c r="C629" s="79" t="s">
        <v>1500</v>
      </c>
      <c r="D629" s="28" t="s">
        <v>1440</v>
      </c>
      <c r="E629" s="29" t="s">
        <v>1441</v>
      </c>
      <c r="F629" s="227">
        <v>2000000</v>
      </c>
      <c r="G629" s="225" t="s">
        <v>48</v>
      </c>
      <c r="H629" s="225" t="s">
        <v>48</v>
      </c>
      <c r="I629" s="228">
        <v>2000000</v>
      </c>
      <c r="J629" s="225" t="s">
        <v>305</v>
      </c>
      <c r="K629" s="225" t="s">
        <v>112</v>
      </c>
      <c r="L629" s="225" t="s">
        <v>112</v>
      </c>
      <c r="M629" s="225" t="s">
        <v>113</v>
      </c>
      <c r="N629" s="225" t="s">
        <v>114</v>
      </c>
      <c r="O629" s="226">
        <v>0</v>
      </c>
      <c r="P629" s="30"/>
      <c r="Q629" s="183" t="e">
        <f t="shared" si="183"/>
        <v>#DIV/0!</v>
      </c>
      <c r="R629" s="171"/>
    </row>
    <row r="630" spans="1:18">
      <c r="A630" s="72" t="s">
        <v>1502</v>
      </c>
      <c r="B630" s="73" t="s">
        <v>989</v>
      </c>
      <c r="C630" s="74" t="s">
        <v>1503</v>
      </c>
      <c r="D630" s="75"/>
      <c r="E630" s="20" t="s">
        <v>1504</v>
      </c>
      <c r="F630" s="206">
        <v>529659000</v>
      </c>
      <c r="G630" s="207" t="s">
        <v>35</v>
      </c>
      <c r="H630" s="208">
        <v>35059320</v>
      </c>
      <c r="I630" s="208">
        <v>564718320</v>
      </c>
      <c r="J630" s="208">
        <v>359036578</v>
      </c>
      <c r="K630" s="207" t="s">
        <v>314</v>
      </c>
      <c r="L630" s="208">
        <v>355955578</v>
      </c>
      <c r="M630" s="208">
        <v>45708091</v>
      </c>
      <c r="N630" s="208">
        <v>230428144</v>
      </c>
      <c r="O630" s="209">
        <v>0.63029999999999997</v>
      </c>
      <c r="P630" s="76">
        <f t="shared" ref="P630" si="194">+P631+P645+P647</f>
        <v>1025682410</v>
      </c>
      <c r="Q630" s="183">
        <f t="shared" si="183"/>
        <v>0.44942185369055904</v>
      </c>
      <c r="R630" s="345">
        <f>+R631+R645+R647</f>
        <v>1025682410</v>
      </c>
    </row>
    <row r="631" spans="1:18">
      <c r="A631" s="10" t="s">
        <v>1505</v>
      </c>
      <c r="B631" s="14" t="s">
        <v>1506</v>
      </c>
      <c r="C631" s="10" t="s">
        <v>1507</v>
      </c>
      <c r="D631" s="25"/>
      <c r="E631" s="9" t="s">
        <v>1508</v>
      </c>
      <c r="F631" s="216">
        <v>381637000</v>
      </c>
      <c r="G631" s="217" t="s">
        <v>48</v>
      </c>
      <c r="H631" s="218">
        <v>35059320</v>
      </c>
      <c r="I631" s="218">
        <v>416696320</v>
      </c>
      <c r="J631" s="218">
        <v>359036578</v>
      </c>
      <c r="K631" s="217" t="s">
        <v>112</v>
      </c>
      <c r="L631" s="218">
        <v>355955578</v>
      </c>
      <c r="M631" s="218">
        <v>45708091</v>
      </c>
      <c r="N631" s="218">
        <v>230428144</v>
      </c>
      <c r="O631" s="219">
        <v>0.85419999999999996</v>
      </c>
      <c r="P631" s="8">
        <f>SUM(P632:P644)</f>
        <v>875682410</v>
      </c>
      <c r="Q631" s="183">
        <f t="shared" si="183"/>
        <v>0.52414675087512608</v>
      </c>
      <c r="R631" s="347">
        <f>SUM(R632:R644)</f>
        <v>875682410</v>
      </c>
    </row>
    <row r="632" spans="1:18" s="177" customFormat="1">
      <c r="A632" s="79"/>
      <c r="B632" s="80"/>
      <c r="C632" s="79" t="s">
        <v>1507</v>
      </c>
      <c r="D632" s="28" t="s">
        <v>1046</v>
      </c>
      <c r="E632" s="29" t="s">
        <v>1047</v>
      </c>
      <c r="F632" s="227">
        <v>156480000</v>
      </c>
      <c r="G632" s="225" t="s">
        <v>48</v>
      </c>
      <c r="H632" s="225" t="s">
        <v>48</v>
      </c>
      <c r="I632" s="228">
        <v>156480000</v>
      </c>
      <c r="J632" s="228">
        <v>146464605</v>
      </c>
      <c r="K632" s="225" t="s">
        <v>112</v>
      </c>
      <c r="L632" s="228">
        <v>146464605</v>
      </c>
      <c r="M632" s="228">
        <v>30653091</v>
      </c>
      <c r="N632" s="228">
        <v>103126471</v>
      </c>
      <c r="O632" s="226">
        <v>0.93600000000000005</v>
      </c>
      <c r="P632" s="30">
        <f>92576000+84160000</f>
        <v>176736000</v>
      </c>
      <c r="Q632" s="183">
        <f t="shared" si="183"/>
        <v>0.11461162411732755</v>
      </c>
      <c r="R632" s="171">
        <f>92576000+84160000</f>
        <v>176736000</v>
      </c>
    </row>
    <row r="633" spans="1:18" s="177" customFormat="1">
      <c r="A633" s="79"/>
      <c r="B633" s="80"/>
      <c r="C633" s="79" t="s">
        <v>1507</v>
      </c>
      <c r="D633" s="28" t="s">
        <v>1222</v>
      </c>
      <c r="E633" s="29" t="s">
        <v>1223</v>
      </c>
      <c r="F633" s="227">
        <v>15110000</v>
      </c>
      <c r="G633" s="225" t="s">
        <v>48</v>
      </c>
      <c r="H633" s="225" t="s">
        <v>48</v>
      </c>
      <c r="I633" s="228">
        <v>15110000</v>
      </c>
      <c r="J633" s="228">
        <v>15110000</v>
      </c>
      <c r="K633" s="225" t="s">
        <v>112</v>
      </c>
      <c r="L633" s="228">
        <v>15055000</v>
      </c>
      <c r="M633" s="228">
        <v>15055000</v>
      </c>
      <c r="N633" s="228">
        <v>15055000</v>
      </c>
      <c r="O633" s="226">
        <v>0.99639999999999995</v>
      </c>
      <c r="P633" s="30">
        <v>20000000</v>
      </c>
      <c r="Q633" s="183">
        <f t="shared" si="183"/>
        <v>0.2445</v>
      </c>
      <c r="R633" s="171">
        <v>20000000</v>
      </c>
    </row>
    <row r="634" spans="1:18" s="177" customFormat="1">
      <c r="A634" s="79"/>
      <c r="B634" s="80"/>
      <c r="C634" s="79" t="s">
        <v>1507</v>
      </c>
      <c r="D634" s="28" t="s">
        <v>397</v>
      </c>
      <c r="E634" s="29" t="s">
        <v>1217</v>
      </c>
      <c r="F634" s="227">
        <v>31719000</v>
      </c>
      <c r="G634" s="225" t="s">
        <v>48</v>
      </c>
      <c r="H634" s="225" t="s">
        <v>48</v>
      </c>
      <c r="I634" s="228">
        <v>31719000</v>
      </c>
      <c r="J634" s="225" t="s">
        <v>305</v>
      </c>
      <c r="K634" s="225" t="s">
        <v>112</v>
      </c>
      <c r="L634" s="225" t="s">
        <v>112</v>
      </c>
      <c r="M634" s="225" t="s">
        <v>113</v>
      </c>
      <c r="N634" s="225" t="s">
        <v>114</v>
      </c>
      <c r="O634" s="226">
        <v>0</v>
      </c>
      <c r="P634" s="30">
        <v>65000000</v>
      </c>
      <c r="Q634" s="183">
        <f t="shared" si="183"/>
        <v>0.51201538461538465</v>
      </c>
      <c r="R634" s="171">
        <v>65000000</v>
      </c>
    </row>
    <row r="635" spans="1:18" s="177" customFormat="1">
      <c r="A635" s="79"/>
      <c r="B635" s="80"/>
      <c r="C635" s="79" t="s">
        <v>1507</v>
      </c>
      <c r="D635" s="28" t="s">
        <v>419</v>
      </c>
      <c r="E635" s="29" t="s">
        <v>1221</v>
      </c>
      <c r="F635" s="227">
        <v>45216000</v>
      </c>
      <c r="G635" s="225" t="s">
        <v>48</v>
      </c>
      <c r="H635" s="225" t="s">
        <v>48</v>
      </c>
      <c r="I635" s="228">
        <v>45216000</v>
      </c>
      <c r="J635" s="228">
        <v>45216000</v>
      </c>
      <c r="K635" s="225" t="s">
        <v>112</v>
      </c>
      <c r="L635" s="228">
        <v>45216000</v>
      </c>
      <c r="M635" s="225" t="s">
        <v>113</v>
      </c>
      <c r="N635" s="225" t="s">
        <v>114</v>
      </c>
      <c r="O635" s="226">
        <v>1</v>
      </c>
      <c r="P635" s="30">
        <v>71764620</v>
      </c>
      <c r="Q635" s="183">
        <f t="shared" si="183"/>
        <v>0.36994022960060263</v>
      </c>
      <c r="R635" s="171">
        <v>71764620</v>
      </c>
    </row>
    <row r="636" spans="1:18" s="177" customFormat="1">
      <c r="A636" s="79"/>
      <c r="B636" s="80"/>
      <c r="C636" s="79" t="s">
        <v>1507</v>
      </c>
      <c r="D636" s="28" t="s">
        <v>423</v>
      </c>
      <c r="E636" s="29" t="s">
        <v>1135</v>
      </c>
      <c r="F636" s="227">
        <v>40000000</v>
      </c>
      <c r="G636" s="225" t="s">
        <v>48</v>
      </c>
      <c r="H636" s="225" t="s">
        <v>48</v>
      </c>
      <c r="I636" s="228">
        <v>40000000</v>
      </c>
      <c r="J636" s="228">
        <v>39999300</v>
      </c>
      <c r="K636" s="225" t="s">
        <v>112</v>
      </c>
      <c r="L636" s="228">
        <v>36973300</v>
      </c>
      <c r="M636" s="225" t="s">
        <v>113</v>
      </c>
      <c r="N636" s="225" t="s">
        <v>114</v>
      </c>
      <c r="O636" s="226">
        <v>0.92430000000000001</v>
      </c>
      <c r="P636" s="30">
        <v>40000000</v>
      </c>
      <c r="Q636" s="183">
        <f t="shared" si="183"/>
        <v>0</v>
      </c>
      <c r="R636" s="171">
        <v>40000000</v>
      </c>
    </row>
    <row r="637" spans="1:18" s="177" customFormat="1">
      <c r="A637" s="79"/>
      <c r="B637" s="80"/>
      <c r="C637" s="79" t="s">
        <v>1507</v>
      </c>
      <c r="D637" s="28" t="s">
        <v>1022</v>
      </c>
      <c r="E637" s="29" t="s">
        <v>1023</v>
      </c>
      <c r="F637" s="227">
        <v>31719000</v>
      </c>
      <c r="G637" s="225" t="s">
        <v>48</v>
      </c>
      <c r="H637" s="228">
        <v>-759167</v>
      </c>
      <c r="I637" s="228">
        <v>30959833</v>
      </c>
      <c r="J637" s="228">
        <v>28946750</v>
      </c>
      <c r="K637" s="225" t="s">
        <v>112</v>
      </c>
      <c r="L637" s="228">
        <v>28946750</v>
      </c>
      <c r="M637" s="225" t="s">
        <v>113</v>
      </c>
      <c r="N637" s="228">
        <v>28946750</v>
      </c>
      <c r="O637" s="226">
        <v>0.93500000000000005</v>
      </c>
      <c r="P637" s="30">
        <v>60000000</v>
      </c>
      <c r="Q637" s="183">
        <f t="shared" si="183"/>
        <v>0.48400278333333335</v>
      </c>
      <c r="R637" s="171">
        <v>60000000</v>
      </c>
    </row>
    <row r="638" spans="1:18" s="177" customFormat="1">
      <c r="A638" s="79"/>
      <c r="B638" s="80"/>
      <c r="C638" s="79" t="s">
        <v>1507</v>
      </c>
      <c r="D638" s="28" t="s">
        <v>1431</v>
      </c>
      <c r="E638" s="29" t="s">
        <v>1432</v>
      </c>
      <c r="F638" s="227">
        <v>50000000</v>
      </c>
      <c r="G638" s="225" t="s">
        <v>48</v>
      </c>
      <c r="H638" s="225" t="s">
        <v>48</v>
      </c>
      <c r="I638" s="228">
        <v>50000000</v>
      </c>
      <c r="J638" s="228">
        <v>48300000</v>
      </c>
      <c r="K638" s="225" t="s">
        <v>112</v>
      </c>
      <c r="L638" s="228">
        <v>48300000</v>
      </c>
      <c r="M638" s="225" t="s">
        <v>113</v>
      </c>
      <c r="N638" s="228">
        <v>48300000</v>
      </c>
      <c r="O638" s="226">
        <v>0.96599999999999997</v>
      </c>
      <c r="P638" s="30">
        <v>140000000</v>
      </c>
      <c r="Q638" s="183">
        <f t="shared" si="183"/>
        <v>0.6428571428571429</v>
      </c>
      <c r="R638" s="171">
        <v>140000000</v>
      </c>
    </row>
    <row r="639" spans="1:18" s="177" customFormat="1">
      <c r="A639" s="79"/>
      <c r="B639" s="80"/>
      <c r="C639" s="79" t="s">
        <v>1507</v>
      </c>
      <c r="D639" s="28" t="s">
        <v>1001</v>
      </c>
      <c r="E639" s="29" t="s">
        <v>1314</v>
      </c>
      <c r="F639" s="227">
        <v>11393000</v>
      </c>
      <c r="G639" s="225" t="s">
        <v>48</v>
      </c>
      <c r="H639" s="228">
        <v>35818487</v>
      </c>
      <c r="I639" s="228">
        <v>47211487</v>
      </c>
      <c r="J639" s="228">
        <v>34999923</v>
      </c>
      <c r="K639" s="225" t="s">
        <v>112</v>
      </c>
      <c r="L639" s="228">
        <v>34999923</v>
      </c>
      <c r="M639" s="225" t="s">
        <v>113</v>
      </c>
      <c r="N639" s="228">
        <v>34999923</v>
      </c>
      <c r="O639" s="226">
        <v>0.74129999999999996</v>
      </c>
      <c r="P639" s="30">
        <f>12000000+3000000+10000000+8600000+30144651+4000000+25000000</f>
        <v>92744651</v>
      </c>
      <c r="Q639" s="183">
        <f t="shared" si="183"/>
        <v>0.49095191484412398</v>
      </c>
      <c r="R639" s="171">
        <f>12000000+3000000+10000000+8600000+30144651+4000000+25000000</f>
        <v>92744651</v>
      </c>
    </row>
    <row r="640" spans="1:18" s="177" customFormat="1">
      <c r="A640" s="79"/>
      <c r="B640" s="80"/>
      <c r="C640" s="79"/>
      <c r="D640" s="28" t="s">
        <v>1224</v>
      </c>
      <c r="E640" s="29" t="s">
        <v>1225</v>
      </c>
      <c r="F640" s="30"/>
      <c r="G640" s="30"/>
      <c r="H640" s="30"/>
      <c r="I640" s="30"/>
      <c r="J640" s="30"/>
      <c r="K640" s="30"/>
      <c r="L640" s="30"/>
      <c r="M640" s="30"/>
      <c r="N640" s="30"/>
      <c r="O640" s="159"/>
      <c r="P640" s="30">
        <v>4500000</v>
      </c>
      <c r="Q640" s="183">
        <f t="shared" si="183"/>
        <v>1</v>
      </c>
      <c r="R640" s="171">
        <v>4500000</v>
      </c>
    </row>
    <row r="641" spans="1:18" s="177" customFormat="1">
      <c r="A641" s="79"/>
      <c r="B641" s="80"/>
      <c r="C641" s="79"/>
      <c r="D641" s="28" t="s">
        <v>1177</v>
      </c>
      <c r="E641" s="29" t="s">
        <v>1178</v>
      </c>
      <c r="F641" s="30"/>
      <c r="G641" s="30"/>
      <c r="H641" s="30"/>
      <c r="I641" s="30"/>
      <c r="J641" s="30"/>
      <c r="K641" s="30"/>
      <c r="L641" s="30"/>
      <c r="M641" s="30"/>
      <c r="N641" s="30"/>
      <c r="O641" s="159"/>
      <c r="P641" s="30">
        <v>20000000</v>
      </c>
      <c r="Q641" s="183">
        <f t="shared" si="183"/>
        <v>1</v>
      </c>
      <c r="R641" s="171">
        <v>20000000</v>
      </c>
    </row>
    <row r="642" spans="1:18" s="177" customFormat="1">
      <c r="A642" s="79"/>
      <c r="B642" s="80"/>
      <c r="C642" s="79"/>
      <c r="D642" s="28" t="s">
        <v>393</v>
      </c>
      <c r="E642" s="29" t="s">
        <v>1216</v>
      </c>
      <c r="F642" s="30"/>
      <c r="G642" s="30"/>
      <c r="H642" s="30"/>
      <c r="I642" s="30"/>
      <c r="J642" s="30"/>
      <c r="K642" s="30"/>
      <c r="L642" s="30"/>
      <c r="M642" s="30"/>
      <c r="N642" s="30"/>
      <c r="O642" s="159"/>
      <c r="P642" s="30">
        <v>104520000</v>
      </c>
      <c r="Q642" s="183">
        <f t="shared" si="183"/>
        <v>1</v>
      </c>
      <c r="R642" s="171">
        <v>104520000</v>
      </c>
    </row>
    <row r="643" spans="1:18" s="177" customFormat="1">
      <c r="A643" s="79"/>
      <c r="B643" s="80"/>
      <c r="C643" s="79"/>
      <c r="D643" s="28" t="s">
        <v>1086</v>
      </c>
      <c r="E643" s="29" t="s">
        <v>1087</v>
      </c>
      <c r="F643" s="30"/>
      <c r="G643" s="30"/>
      <c r="H643" s="30"/>
      <c r="I643" s="30"/>
      <c r="J643" s="30"/>
      <c r="K643" s="30"/>
      <c r="L643" s="30"/>
      <c r="M643" s="30"/>
      <c r="N643" s="30"/>
      <c r="O643" s="159"/>
      <c r="P643" s="30">
        <v>55417139</v>
      </c>
      <c r="Q643" s="183">
        <f t="shared" si="183"/>
        <v>1</v>
      </c>
      <c r="R643" s="171">
        <v>55417139</v>
      </c>
    </row>
    <row r="644" spans="1:18" s="177" customFormat="1">
      <c r="A644" s="79"/>
      <c r="B644" s="80"/>
      <c r="C644" s="79"/>
      <c r="D644" s="28" t="s">
        <v>405</v>
      </c>
      <c r="E644" s="29" t="s">
        <v>1219</v>
      </c>
      <c r="F644" s="30"/>
      <c r="G644" s="30"/>
      <c r="H644" s="30"/>
      <c r="I644" s="30"/>
      <c r="J644" s="30"/>
      <c r="K644" s="30"/>
      <c r="L644" s="30"/>
      <c r="M644" s="30"/>
      <c r="N644" s="30"/>
      <c r="O644" s="159"/>
      <c r="P644" s="30">
        <v>25000000</v>
      </c>
      <c r="Q644" s="183">
        <f t="shared" si="183"/>
        <v>1</v>
      </c>
      <c r="R644" s="171">
        <v>25000000</v>
      </c>
    </row>
    <row r="645" spans="1:18">
      <c r="A645" s="10" t="s">
        <v>1509</v>
      </c>
      <c r="B645" s="14" t="s">
        <v>1510</v>
      </c>
      <c r="C645" s="10" t="s">
        <v>1511</v>
      </c>
      <c r="D645" s="25"/>
      <c r="E645" s="9" t="s">
        <v>1512</v>
      </c>
      <c r="F645" s="272">
        <v>148022000</v>
      </c>
      <c r="G645" s="255" t="s">
        <v>48</v>
      </c>
      <c r="H645" s="255" t="s">
        <v>48</v>
      </c>
      <c r="I645" s="273">
        <v>148022000</v>
      </c>
      <c r="J645" s="255" t="s">
        <v>305</v>
      </c>
      <c r="K645" s="255" t="s">
        <v>112</v>
      </c>
      <c r="L645" s="255" t="s">
        <v>112</v>
      </c>
      <c r="M645" s="255" t="s">
        <v>113</v>
      </c>
      <c r="N645" s="255" t="s">
        <v>114</v>
      </c>
      <c r="O645" s="274">
        <v>0</v>
      </c>
      <c r="P645" s="8">
        <f t="shared" ref="P645" si="195">+P646</f>
        <v>150000000</v>
      </c>
      <c r="Q645" s="183">
        <f t="shared" si="183"/>
        <v>1.3186666666666666E-2</v>
      </c>
      <c r="R645" s="347">
        <f>+R646</f>
        <v>150000000</v>
      </c>
    </row>
    <row r="646" spans="1:18" s="177" customFormat="1">
      <c r="A646" s="79"/>
      <c r="B646" s="80"/>
      <c r="C646" s="79" t="s">
        <v>1511</v>
      </c>
      <c r="D646" s="28" t="s">
        <v>1226</v>
      </c>
      <c r="E646" s="29" t="s">
        <v>1513</v>
      </c>
      <c r="F646" s="227">
        <v>148022000</v>
      </c>
      <c r="G646" s="225" t="s">
        <v>48</v>
      </c>
      <c r="H646" s="225" t="s">
        <v>48</v>
      </c>
      <c r="I646" s="228">
        <v>148022000</v>
      </c>
      <c r="J646" s="225" t="s">
        <v>305</v>
      </c>
      <c r="K646" s="225" t="s">
        <v>112</v>
      </c>
      <c r="L646" s="225" t="s">
        <v>112</v>
      </c>
      <c r="M646" s="225" t="s">
        <v>113</v>
      </c>
      <c r="N646" s="225" t="s">
        <v>114</v>
      </c>
      <c r="O646" s="226">
        <v>0</v>
      </c>
      <c r="P646" s="30">
        <v>150000000</v>
      </c>
      <c r="Q646" s="183">
        <f t="shared" si="183"/>
        <v>1.3186666666666666E-2</v>
      </c>
      <c r="R646" s="171">
        <v>150000000</v>
      </c>
    </row>
    <row r="647" spans="1:18">
      <c r="A647" s="10" t="s">
        <v>1514</v>
      </c>
      <c r="B647" s="14" t="s">
        <v>1515</v>
      </c>
      <c r="C647" s="10" t="s">
        <v>1516</v>
      </c>
      <c r="D647" s="25"/>
      <c r="E647" s="9" t="s">
        <v>1517</v>
      </c>
      <c r="F647" s="254" t="s">
        <v>304</v>
      </c>
      <c r="G647" s="255" t="s">
        <v>48</v>
      </c>
      <c r="H647" s="255" t="s">
        <v>48</v>
      </c>
      <c r="I647" s="255" t="s">
        <v>304</v>
      </c>
      <c r="J647" s="255" t="s">
        <v>305</v>
      </c>
      <c r="K647" s="255" t="s">
        <v>112</v>
      </c>
      <c r="L647" s="255" t="s">
        <v>112</v>
      </c>
      <c r="M647" s="255" t="s">
        <v>113</v>
      </c>
      <c r="N647" s="255" t="s">
        <v>114</v>
      </c>
      <c r="O647" s="274">
        <v>0</v>
      </c>
      <c r="P647" s="8"/>
      <c r="Q647" s="183" t="e">
        <f t="shared" si="183"/>
        <v>#VALUE!</v>
      </c>
      <c r="R647" s="347"/>
    </row>
    <row r="648" spans="1:18">
      <c r="A648" s="94" t="s">
        <v>1518</v>
      </c>
      <c r="B648" s="16" t="s">
        <v>1519</v>
      </c>
      <c r="C648" s="12" t="s">
        <v>1520</v>
      </c>
      <c r="D648" s="24"/>
      <c r="E648" s="11" t="s">
        <v>1521</v>
      </c>
      <c r="F648" s="211">
        <v>1438972000</v>
      </c>
      <c r="G648" s="213">
        <v>7533285</v>
      </c>
      <c r="H648" s="213">
        <v>7533285</v>
      </c>
      <c r="I648" s="213">
        <v>1446505285</v>
      </c>
      <c r="J648" s="213">
        <v>1167371388</v>
      </c>
      <c r="K648" s="213">
        <v>16861027</v>
      </c>
      <c r="L648" s="213">
        <v>1055302319</v>
      </c>
      <c r="M648" s="213">
        <v>16861027</v>
      </c>
      <c r="N648" s="213">
        <v>209640719</v>
      </c>
      <c r="O648" s="214">
        <v>0.72960000000000003</v>
      </c>
      <c r="P648" s="13">
        <f t="shared" ref="P648" si="196">+P649+P654+P657</f>
        <v>2211855907</v>
      </c>
      <c r="Q648" s="183">
        <f t="shared" si="183"/>
        <v>0.34602191742140459</v>
      </c>
      <c r="R648" s="349">
        <f>+R649+R654+R657</f>
        <v>2211855907</v>
      </c>
    </row>
    <row r="649" spans="1:18">
      <c r="A649" s="72" t="s">
        <v>1522</v>
      </c>
      <c r="B649" s="73" t="s">
        <v>989</v>
      </c>
      <c r="C649" s="74" t="s">
        <v>1523</v>
      </c>
      <c r="D649" s="75"/>
      <c r="E649" s="20" t="s">
        <v>1524</v>
      </c>
      <c r="F649" s="206">
        <v>271261000</v>
      </c>
      <c r="G649" s="208">
        <v>7533285</v>
      </c>
      <c r="H649" s="208">
        <v>7533285</v>
      </c>
      <c r="I649" s="208">
        <v>278794285</v>
      </c>
      <c r="J649" s="208">
        <v>271261000</v>
      </c>
      <c r="K649" s="208">
        <v>16861027</v>
      </c>
      <c r="L649" s="208">
        <v>159191931</v>
      </c>
      <c r="M649" s="208">
        <v>16861027</v>
      </c>
      <c r="N649" s="208">
        <v>159191931</v>
      </c>
      <c r="O649" s="209">
        <v>0.57099999999999995</v>
      </c>
      <c r="P649" s="76">
        <f t="shared" ref="P649" si="197">+P650+P652</f>
        <v>291055907</v>
      </c>
      <c r="Q649" s="183">
        <f t="shared" si="183"/>
        <v>4.212806442028335E-2</v>
      </c>
      <c r="R649" s="345">
        <f>+R650+R652</f>
        <v>291055907</v>
      </c>
    </row>
    <row r="650" spans="1:18" s="176" customFormat="1">
      <c r="A650" s="10" t="s">
        <v>1525</v>
      </c>
      <c r="B650" s="14" t="s">
        <v>1526</v>
      </c>
      <c r="C650" s="10" t="s">
        <v>1527</v>
      </c>
      <c r="D650" s="25"/>
      <c r="E650" s="9" t="s">
        <v>1528</v>
      </c>
      <c r="F650" s="216">
        <v>20851000</v>
      </c>
      <c r="G650" s="218">
        <v>7533285</v>
      </c>
      <c r="H650" s="218">
        <v>23668015</v>
      </c>
      <c r="I650" s="218">
        <v>44519015</v>
      </c>
      <c r="J650" s="218">
        <v>36985730</v>
      </c>
      <c r="K650" s="218">
        <v>1666380</v>
      </c>
      <c r="L650" s="218">
        <v>30869820</v>
      </c>
      <c r="M650" s="218">
        <v>1666380</v>
      </c>
      <c r="N650" s="218">
        <v>30869820</v>
      </c>
      <c r="O650" s="219">
        <v>0.69340000000000002</v>
      </c>
      <c r="P650" s="8">
        <f t="shared" ref="P650" si="198">+P651</f>
        <v>25003907</v>
      </c>
      <c r="Q650" s="183">
        <f t="shared" si="183"/>
        <v>-0.78048234621893287</v>
      </c>
      <c r="R650" s="347">
        <f>+R651</f>
        <v>25003907</v>
      </c>
    </row>
    <row r="651" spans="1:18" s="177" customFormat="1">
      <c r="A651" s="79"/>
      <c r="B651" s="80"/>
      <c r="C651" s="79" t="s">
        <v>1527</v>
      </c>
      <c r="D651" s="28" t="s">
        <v>1101</v>
      </c>
      <c r="E651" s="29" t="s">
        <v>1102</v>
      </c>
      <c r="F651" s="227">
        <v>20851000</v>
      </c>
      <c r="G651" s="228">
        <v>7533285</v>
      </c>
      <c r="H651" s="228">
        <v>23668015</v>
      </c>
      <c r="I651" s="228">
        <v>44519015</v>
      </c>
      <c r="J651" s="228">
        <v>36985730</v>
      </c>
      <c r="K651" s="228">
        <v>1666380</v>
      </c>
      <c r="L651" s="228">
        <v>30869820</v>
      </c>
      <c r="M651" s="228">
        <v>1666380</v>
      </c>
      <c r="N651" s="228">
        <v>30869820</v>
      </c>
      <c r="O651" s="226">
        <v>0.69340000000000002</v>
      </c>
      <c r="P651" s="30">
        <v>25003907</v>
      </c>
      <c r="Q651" s="183">
        <f t="shared" si="183"/>
        <v>-0.78048234621893287</v>
      </c>
      <c r="R651" s="171">
        <v>25003907</v>
      </c>
    </row>
    <row r="652" spans="1:18" s="176" customFormat="1">
      <c r="A652" s="10" t="s">
        <v>1529</v>
      </c>
      <c r="B652" s="14" t="s">
        <v>1530</v>
      </c>
      <c r="C652" s="10" t="s">
        <v>1531</v>
      </c>
      <c r="D652" s="25"/>
      <c r="E652" s="9" t="s">
        <v>1532</v>
      </c>
      <c r="F652" s="216">
        <v>250410000</v>
      </c>
      <c r="G652" s="217" t="s">
        <v>48</v>
      </c>
      <c r="H652" s="218">
        <v>-16134730</v>
      </c>
      <c r="I652" s="218">
        <v>234275270</v>
      </c>
      <c r="J652" s="218">
        <v>234275270</v>
      </c>
      <c r="K652" s="218">
        <v>15194647</v>
      </c>
      <c r="L652" s="218">
        <v>128322111</v>
      </c>
      <c r="M652" s="218">
        <v>15194647</v>
      </c>
      <c r="N652" s="218">
        <v>128322111</v>
      </c>
      <c r="O652" s="219">
        <v>0.54769999999999996</v>
      </c>
      <c r="P652" s="8">
        <f t="shared" ref="P652" si="199">+P653</f>
        <v>266052000</v>
      </c>
      <c r="Q652" s="183">
        <f t="shared" si="183"/>
        <v>0.11943804218724159</v>
      </c>
      <c r="R652" s="347">
        <f>+R653</f>
        <v>266052000</v>
      </c>
    </row>
    <row r="653" spans="1:18" s="177" customFormat="1">
      <c r="A653" s="79"/>
      <c r="B653" s="80"/>
      <c r="C653" s="79" t="s">
        <v>1531</v>
      </c>
      <c r="D653" s="28" t="s">
        <v>1101</v>
      </c>
      <c r="E653" s="29" t="s">
        <v>1102</v>
      </c>
      <c r="F653" s="227">
        <v>250410000</v>
      </c>
      <c r="G653" s="225" t="s">
        <v>48</v>
      </c>
      <c r="H653" s="228">
        <v>-16134730</v>
      </c>
      <c r="I653" s="228">
        <v>234275270</v>
      </c>
      <c r="J653" s="228">
        <v>234275270</v>
      </c>
      <c r="K653" s="228">
        <v>15194647</v>
      </c>
      <c r="L653" s="228">
        <v>128322111</v>
      </c>
      <c r="M653" s="228">
        <v>15194647</v>
      </c>
      <c r="N653" s="228">
        <v>128322111</v>
      </c>
      <c r="O653" s="226">
        <v>0.54769999999999996</v>
      </c>
      <c r="P653" s="30">
        <v>266052000</v>
      </c>
      <c r="Q653" s="183">
        <f t="shared" si="183"/>
        <v>0.11943804218724159</v>
      </c>
      <c r="R653" s="171">
        <v>266052000</v>
      </c>
    </row>
    <row r="654" spans="1:18">
      <c r="A654" s="72" t="s">
        <v>1533</v>
      </c>
      <c r="B654" s="73" t="s">
        <v>989</v>
      </c>
      <c r="C654" s="74" t="s">
        <v>1534</v>
      </c>
      <c r="D654" s="75"/>
      <c r="E654" s="20" t="s">
        <v>1535</v>
      </c>
      <c r="F654" s="206">
        <v>1112281000</v>
      </c>
      <c r="G654" s="207" t="s">
        <v>35</v>
      </c>
      <c r="H654" s="207" t="s">
        <v>35</v>
      </c>
      <c r="I654" s="208">
        <v>1112281000</v>
      </c>
      <c r="J654" s="208">
        <v>845661600</v>
      </c>
      <c r="K654" s="207" t="s">
        <v>314</v>
      </c>
      <c r="L654" s="208">
        <v>845661600</v>
      </c>
      <c r="M654" s="207" t="s">
        <v>315</v>
      </c>
      <c r="N654" s="207" t="s">
        <v>448</v>
      </c>
      <c r="O654" s="209">
        <v>0.76029999999999998</v>
      </c>
      <c r="P654" s="76">
        <f t="shared" ref="P654:P655" si="200">+P655</f>
        <v>1864000000</v>
      </c>
      <c r="Q654" s="183">
        <f t="shared" si="183"/>
        <v>0.40328272532188841</v>
      </c>
      <c r="R654" s="345">
        <f>+R655</f>
        <v>1864000000</v>
      </c>
    </row>
    <row r="655" spans="1:18" s="176" customFormat="1">
      <c r="A655" s="10" t="s">
        <v>1536</v>
      </c>
      <c r="B655" s="14" t="s">
        <v>1537</v>
      </c>
      <c r="C655" s="10" t="s">
        <v>1538</v>
      </c>
      <c r="D655" s="25"/>
      <c r="E655" s="9" t="s">
        <v>1539</v>
      </c>
      <c r="F655" s="216">
        <v>1112281000</v>
      </c>
      <c r="G655" s="217" t="s">
        <v>48</v>
      </c>
      <c r="H655" s="217" t="s">
        <v>48</v>
      </c>
      <c r="I655" s="218">
        <v>1112281000</v>
      </c>
      <c r="J655" s="218">
        <v>845661600</v>
      </c>
      <c r="K655" s="217" t="s">
        <v>112</v>
      </c>
      <c r="L655" s="218">
        <v>845661600</v>
      </c>
      <c r="M655" s="217" t="s">
        <v>113</v>
      </c>
      <c r="N655" s="217" t="s">
        <v>114</v>
      </c>
      <c r="O655" s="219">
        <v>0.76029999999999998</v>
      </c>
      <c r="P655" s="8">
        <f t="shared" si="200"/>
        <v>1864000000</v>
      </c>
      <c r="Q655" s="183">
        <f t="shared" si="183"/>
        <v>0.40328272532188841</v>
      </c>
      <c r="R655" s="347">
        <f>+R656</f>
        <v>1864000000</v>
      </c>
    </row>
    <row r="656" spans="1:18" s="177" customFormat="1">
      <c r="A656" s="79"/>
      <c r="B656" s="80"/>
      <c r="C656" s="79" t="s">
        <v>1538</v>
      </c>
      <c r="D656" s="28" t="s">
        <v>1044</v>
      </c>
      <c r="E656" s="29" t="s">
        <v>1045</v>
      </c>
      <c r="F656" s="227">
        <v>1112281000</v>
      </c>
      <c r="G656" s="225" t="s">
        <v>48</v>
      </c>
      <c r="H656" s="225" t="s">
        <v>48</v>
      </c>
      <c r="I656" s="228">
        <v>1112281000</v>
      </c>
      <c r="J656" s="228">
        <v>845661600</v>
      </c>
      <c r="K656" s="225" t="s">
        <v>112</v>
      </c>
      <c r="L656" s="228">
        <v>845661600</v>
      </c>
      <c r="M656" s="225" t="s">
        <v>113</v>
      </c>
      <c r="N656" s="225" t="s">
        <v>114</v>
      </c>
      <c r="O656" s="226">
        <v>0.76029999999999998</v>
      </c>
      <c r="P656" s="30">
        <f>364000000+1500000000</f>
        <v>1864000000</v>
      </c>
      <c r="Q656" s="183">
        <f t="shared" si="183"/>
        <v>0.40328272532188841</v>
      </c>
      <c r="R656" s="171">
        <f>364000000+1500000000</f>
        <v>1864000000</v>
      </c>
    </row>
    <row r="657" spans="1:18">
      <c r="A657" s="72" t="s">
        <v>1540</v>
      </c>
      <c r="B657" s="73" t="s">
        <v>989</v>
      </c>
      <c r="C657" s="74" t="s">
        <v>1541</v>
      </c>
      <c r="D657" s="75"/>
      <c r="E657" s="20" t="s">
        <v>1542</v>
      </c>
      <c r="F657" s="206">
        <v>55430000</v>
      </c>
      <c r="G657" s="207" t="s">
        <v>35</v>
      </c>
      <c r="H657" s="207" t="s">
        <v>35</v>
      </c>
      <c r="I657" s="208">
        <v>55430000</v>
      </c>
      <c r="J657" s="208">
        <v>50448788</v>
      </c>
      <c r="K657" s="207" t="s">
        <v>314</v>
      </c>
      <c r="L657" s="208">
        <v>50448788</v>
      </c>
      <c r="M657" s="207" t="s">
        <v>315</v>
      </c>
      <c r="N657" s="208">
        <v>50448788</v>
      </c>
      <c r="O657" s="209">
        <v>0.91010000000000002</v>
      </c>
      <c r="P657" s="76">
        <f t="shared" ref="P657" si="201">+P658+P660</f>
        <v>56800000</v>
      </c>
      <c r="Q657" s="183">
        <f t="shared" si="183"/>
        <v>2.4119718309859154E-2</v>
      </c>
      <c r="R657" s="345">
        <f>+R658+R660</f>
        <v>56800000</v>
      </c>
    </row>
    <row r="658" spans="1:18" s="176" customFormat="1">
      <c r="A658" s="10" t="s">
        <v>1543</v>
      </c>
      <c r="B658" s="14" t="s">
        <v>1544</v>
      </c>
      <c r="C658" s="10" t="s">
        <v>1545</v>
      </c>
      <c r="D658" s="25"/>
      <c r="E658" s="9" t="s">
        <v>1546</v>
      </c>
      <c r="F658" s="216">
        <v>53230000</v>
      </c>
      <c r="G658" s="217" t="s">
        <v>48</v>
      </c>
      <c r="H658" s="217" t="s">
        <v>48</v>
      </c>
      <c r="I658" s="218">
        <v>53230000</v>
      </c>
      <c r="J658" s="218">
        <v>50448788</v>
      </c>
      <c r="K658" s="217" t="s">
        <v>112</v>
      </c>
      <c r="L658" s="218">
        <v>50448788</v>
      </c>
      <c r="M658" s="217" t="s">
        <v>113</v>
      </c>
      <c r="N658" s="218">
        <v>50448788</v>
      </c>
      <c r="O658" s="219">
        <v>0.94779999999999998</v>
      </c>
      <c r="P658" s="8">
        <f t="shared" ref="P658" si="202">+P659</f>
        <v>54500000</v>
      </c>
      <c r="Q658" s="183">
        <f t="shared" si="183"/>
        <v>2.3302752293577981E-2</v>
      </c>
      <c r="R658" s="347">
        <f>+R659</f>
        <v>54500000</v>
      </c>
    </row>
    <row r="659" spans="1:18" s="177" customFormat="1">
      <c r="A659" s="79"/>
      <c r="B659" s="80"/>
      <c r="C659" s="79" t="s">
        <v>1545</v>
      </c>
      <c r="D659" s="28" t="s">
        <v>1177</v>
      </c>
      <c r="E659" s="29" t="s">
        <v>1178</v>
      </c>
      <c r="F659" s="227">
        <v>53230000</v>
      </c>
      <c r="G659" s="225" t="s">
        <v>48</v>
      </c>
      <c r="H659" s="225" t="s">
        <v>48</v>
      </c>
      <c r="I659" s="228">
        <v>53230000</v>
      </c>
      <c r="J659" s="228">
        <v>50448788</v>
      </c>
      <c r="K659" s="225" t="s">
        <v>112</v>
      </c>
      <c r="L659" s="228">
        <v>50448788</v>
      </c>
      <c r="M659" s="225" t="s">
        <v>113</v>
      </c>
      <c r="N659" s="228">
        <v>50448788</v>
      </c>
      <c r="O659" s="226">
        <v>0.94779999999999998</v>
      </c>
      <c r="P659" s="30">
        <v>54500000</v>
      </c>
      <c r="Q659" s="183">
        <f t="shared" si="183"/>
        <v>2.3302752293577981E-2</v>
      </c>
      <c r="R659" s="171">
        <v>54500000</v>
      </c>
    </row>
    <row r="660" spans="1:18">
      <c r="A660" s="10" t="s">
        <v>1547</v>
      </c>
      <c r="B660" s="14" t="s">
        <v>1548</v>
      </c>
      <c r="C660" s="10" t="s">
        <v>1549</v>
      </c>
      <c r="D660" s="25"/>
      <c r="E660" s="9" t="s">
        <v>1550</v>
      </c>
      <c r="F660" s="216">
        <v>2200000</v>
      </c>
      <c r="G660" s="217" t="s">
        <v>48</v>
      </c>
      <c r="H660" s="217" t="s">
        <v>48</v>
      </c>
      <c r="I660" s="218">
        <v>2200000</v>
      </c>
      <c r="J660" s="217" t="s">
        <v>305</v>
      </c>
      <c r="K660" s="217" t="s">
        <v>112</v>
      </c>
      <c r="L660" s="217" t="s">
        <v>112</v>
      </c>
      <c r="M660" s="217" t="s">
        <v>113</v>
      </c>
      <c r="N660" s="217" t="s">
        <v>114</v>
      </c>
      <c r="O660" s="219">
        <v>0</v>
      </c>
      <c r="P660" s="8">
        <f t="shared" ref="P660" si="203">+P661</f>
        <v>2300000</v>
      </c>
      <c r="Q660" s="183">
        <f t="shared" si="183"/>
        <v>4.3478260869565216E-2</v>
      </c>
      <c r="R660" s="347">
        <f>+R661</f>
        <v>2300000</v>
      </c>
    </row>
    <row r="661" spans="1:18" s="177" customFormat="1">
      <c r="A661" s="79"/>
      <c r="B661" s="80"/>
      <c r="C661" s="79" t="s">
        <v>1549</v>
      </c>
      <c r="D661" s="28" t="s">
        <v>1177</v>
      </c>
      <c r="E661" s="29" t="s">
        <v>1178</v>
      </c>
      <c r="F661" s="227">
        <v>2200000</v>
      </c>
      <c r="G661" s="225" t="s">
        <v>48</v>
      </c>
      <c r="H661" s="225" t="s">
        <v>48</v>
      </c>
      <c r="I661" s="228">
        <v>2200000</v>
      </c>
      <c r="J661" s="225" t="s">
        <v>305</v>
      </c>
      <c r="K661" s="225" t="s">
        <v>112</v>
      </c>
      <c r="L661" s="225" t="s">
        <v>112</v>
      </c>
      <c r="M661" s="225" t="s">
        <v>113</v>
      </c>
      <c r="N661" s="225" t="s">
        <v>114</v>
      </c>
      <c r="O661" s="226">
        <v>0</v>
      </c>
      <c r="P661" s="30">
        <v>2300000</v>
      </c>
      <c r="Q661" s="183">
        <f t="shared" si="183"/>
        <v>4.3478260869565216E-2</v>
      </c>
      <c r="R661" s="171">
        <v>2300000</v>
      </c>
    </row>
    <row r="662" spans="1:18">
      <c r="A662" s="94" t="s">
        <v>1551</v>
      </c>
      <c r="B662" s="16" t="s">
        <v>1552</v>
      </c>
      <c r="C662" s="12" t="s">
        <v>1553</v>
      </c>
      <c r="D662" s="24"/>
      <c r="E662" s="11" t="s">
        <v>1554</v>
      </c>
      <c r="F662" s="211">
        <v>23195336000</v>
      </c>
      <c r="G662" s="213">
        <v>9096825710</v>
      </c>
      <c r="H662" s="213">
        <v>9112648950</v>
      </c>
      <c r="I662" s="213">
        <v>32307984950</v>
      </c>
      <c r="J662" s="213">
        <v>23611364451</v>
      </c>
      <c r="K662" s="213">
        <v>2449320734</v>
      </c>
      <c r="L662" s="213">
        <v>23317797010</v>
      </c>
      <c r="M662" s="213">
        <v>4085951548</v>
      </c>
      <c r="N662" s="213">
        <v>16595395209</v>
      </c>
      <c r="O662" s="214">
        <v>0.72170000000000001</v>
      </c>
      <c r="P662" s="13">
        <f t="shared" ref="P662" si="204">+P663+P668+P678</f>
        <v>39274402916</v>
      </c>
      <c r="Q662" s="183">
        <f t="shared" si="183"/>
        <v>0.17737807449039411</v>
      </c>
      <c r="R662" s="349">
        <f>+R663+R668+R678</f>
        <v>39274402916</v>
      </c>
    </row>
    <row r="663" spans="1:18" s="175" customFormat="1">
      <c r="A663" s="72" t="s">
        <v>1555</v>
      </c>
      <c r="B663" s="73" t="s">
        <v>989</v>
      </c>
      <c r="C663" s="74" t="s">
        <v>1556</v>
      </c>
      <c r="D663" s="75"/>
      <c r="E663" s="20" t="s">
        <v>1557</v>
      </c>
      <c r="F663" s="260">
        <v>14747611000</v>
      </c>
      <c r="G663" s="262">
        <v>5903395805</v>
      </c>
      <c r="H663" s="262">
        <v>5812052805</v>
      </c>
      <c r="I663" s="262">
        <v>20559663805</v>
      </c>
      <c r="J663" s="262">
        <v>14628816604</v>
      </c>
      <c r="K663" s="261" t="s">
        <v>314</v>
      </c>
      <c r="L663" s="262">
        <v>14628816604</v>
      </c>
      <c r="M663" s="262">
        <v>3347164839</v>
      </c>
      <c r="N663" s="262">
        <v>11953325488</v>
      </c>
      <c r="O663" s="263">
        <v>0.71150000000000002</v>
      </c>
      <c r="P663" s="76">
        <f t="shared" ref="P663" si="205">+P666+P664</f>
        <v>25555153000</v>
      </c>
      <c r="Q663" s="183">
        <f t="shared" si="183"/>
        <v>0.19547874336733573</v>
      </c>
      <c r="R663" s="345">
        <f>+R666+R664</f>
        <v>25555153000</v>
      </c>
    </row>
    <row r="664" spans="1:18" s="176" customFormat="1">
      <c r="A664" s="10" t="s">
        <v>1558</v>
      </c>
      <c r="B664" s="14" t="s">
        <v>1559</v>
      </c>
      <c r="C664" s="10" t="s">
        <v>1560</v>
      </c>
      <c r="D664" s="25"/>
      <c r="E664" s="9" t="s">
        <v>1561</v>
      </c>
      <c r="F664" s="216">
        <v>91343000</v>
      </c>
      <c r="G664" s="217" t="s">
        <v>48</v>
      </c>
      <c r="H664" s="218">
        <v>-91343000</v>
      </c>
      <c r="I664" s="217" t="s">
        <v>304</v>
      </c>
      <c r="J664" s="217" t="s">
        <v>305</v>
      </c>
      <c r="K664" s="217" t="s">
        <v>112</v>
      </c>
      <c r="L664" s="217" t="s">
        <v>112</v>
      </c>
      <c r="M664" s="217" t="s">
        <v>113</v>
      </c>
      <c r="N664" s="217" t="s">
        <v>114</v>
      </c>
      <c r="O664" s="219">
        <v>0</v>
      </c>
      <c r="P664" s="8">
        <f t="shared" ref="P664" si="206">+P665</f>
        <v>120000000</v>
      </c>
      <c r="Q664" s="183" t="e">
        <f t="shared" si="183"/>
        <v>#VALUE!</v>
      </c>
      <c r="R664" s="347">
        <f>+R665</f>
        <v>120000000</v>
      </c>
    </row>
    <row r="665" spans="1:18" s="177" customFormat="1">
      <c r="A665" s="79"/>
      <c r="B665" s="80"/>
      <c r="C665" s="79" t="s">
        <v>1560</v>
      </c>
      <c r="D665" s="28" t="s">
        <v>1101</v>
      </c>
      <c r="E665" s="29" t="s">
        <v>1102</v>
      </c>
      <c r="F665" s="227">
        <v>91343000</v>
      </c>
      <c r="G665" s="225" t="s">
        <v>48</v>
      </c>
      <c r="H665" s="228">
        <v>-91343000</v>
      </c>
      <c r="I665" s="225" t="s">
        <v>304</v>
      </c>
      <c r="J665" s="225" t="s">
        <v>305</v>
      </c>
      <c r="K665" s="225" t="s">
        <v>112</v>
      </c>
      <c r="L665" s="225" t="s">
        <v>112</v>
      </c>
      <c r="M665" s="225" t="s">
        <v>113</v>
      </c>
      <c r="N665" s="225" t="s">
        <v>114</v>
      </c>
      <c r="O665" s="226">
        <v>0</v>
      </c>
      <c r="P665" s="30">
        <v>120000000</v>
      </c>
      <c r="Q665" s="183" t="e">
        <f t="shared" si="183"/>
        <v>#VALUE!</v>
      </c>
      <c r="R665" s="171">
        <v>120000000</v>
      </c>
    </row>
    <row r="666" spans="1:18" s="176" customFormat="1">
      <c r="A666" s="10" t="s">
        <v>1562</v>
      </c>
      <c r="B666" s="14" t="s">
        <v>1563</v>
      </c>
      <c r="C666" s="10" t="s">
        <v>1564</v>
      </c>
      <c r="D666" s="25"/>
      <c r="E666" s="9" t="s">
        <v>1565</v>
      </c>
      <c r="F666" s="216">
        <v>14656268000</v>
      </c>
      <c r="G666" s="218">
        <v>5903395805</v>
      </c>
      <c r="H666" s="218">
        <v>5903395805</v>
      </c>
      <c r="I666" s="218">
        <v>20559663805</v>
      </c>
      <c r="J666" s="218">
        <v>14628816604</v>
      </c>
      <c r="K666" s="217" t="s">
        <v>112</v>
      </c>
      <c r="L666" s="218">
        <v>14628816604</v>
      </c>
      <c r="M666" s="218">
        <v>3347164839</v>
      </c>
      <c r="N666" s="218">
        <v>11953325488</v>
      </c>
      <c r="O666" s="219">
        <v>0.71150000000000002</v>
      </c>
      <c r="P666" s="8">
        <f t="shared" ref="P666" si="207">+P667</f>
        <v>25435153000</v>
      </c>
      <c r="Q666" s="183">
        <f t="shared" si="183"/>
        <v>0.1916831086095688</v>
      </c>
      <c r="R666" s="347">
        <f>+R667</f>
        <v>25435153000</v>
      </c>
    </row>
    <row r="667" spans="1:18" s="177" customFormat="1">
      <c r="A667" s="79"/>
      <c r="B667" s="80"/>
      <c r="C667" s="79" t="s">
        <v>1564</v>
      </c>
      <c r="D667" s="28" t="s">
        <v>1101</v>
      </c>
      <c r="E667" s="29" t="s">
        <v>1102</v>
      </c>
      <c r="F667" s="227">
        <v>14656268000</v>
      </c>
      <c r="G667" s="228">
        <v>5903395805</v>
      </c>
      <c r="H667" s="228">
        <v>5903395805</v>
      </c>
      <c r="I667" s="228">
        <v>20559663805</v>
      </c>
      <c r="J667" s="228">
        <v>14628816604</v>
      </c>
      <c r="K667" s="225" t="s">
        <v>112</v>
      </c>
      <c r="L667" s="228">
        <v>14628816604</v>
      </c>
      <c r="M667" s="228">
        <v>3347164839</v>
      </c>
      <c r="N667" s="228">
        <v>11953325488</v>
      </c>
      <c r="O667" s="226">
        <v>0.71150000000000002</v>
      </c>
      <c r="P667" s="30">
        <v>25435153000</v>
      </c>
      <c r="Q667" s="183">
        <f t="shared" si="183"/>
        <v>0.1916831086095688</v>
      </c>
      <c r="R667" s="171">
        <v>25435153000</v>
      </c>
    </row>
    <row r="668" spans="1:18" s="175" customFormat="1">
      <c r="A668" s="72" t="s">
        <v>1566</v>
      </c>
      <c r="B668" s="73" t="s">
        <v>989</v>
      </c>
      <c r="C668" s="74" t="s">
        <v>1567</v>
      </c>
      <c r="D668" s="75"/>
      <c r="E668" s="20" t="s">
        <v>1568</v>
      </c>
      <c r="F668" s="206">
        <v>6012887000</v>
      </c>
      <c r="G668" s="208">
        <v>3193429905</v>
      </c>
      <c r="H668" s="208">
        <v>3103559905</v>
      </c>
      <c r="I668" s="208">
        <v>9116446905</v>
      </c>
      <c r="J668" s="208">
        <v>7352547393</v>
      </c>
      <c r="K668" s="208">
        <v>2395072429</v>
      </c>
      <c r="L668" s="208">
        <v>7352547393</v>
      </c>
      <c r="M668" s="208">
        <v>645514491</v>
      </c>
      <c r="N668" s="208">
        <v>4011528634</v>
      </c>
      <c r="O668" s="209">
        <v>0.80649999999999999</v>
      </c>
      <c r="P668" s="76">
        <f t="shared" ref="P668" si="208">+P669+P674+P676</f>
        <v>10045159487</v>
      </c>
      <c r="Q668" s="183">
        <f t="shared" si="183"/>
        <v>9.2453741844706269E-2</v>
      </c>
      <c r="R668" s="345">
        <f>+R669+R674+R676</f>
        <v>10045159487</v>
      </c>
    </row>
    <row r="669" spans="1:18">
      <c r="A669" s="10" t="s">
        <v>1569</v>
      </c>
      <c r="B669" s="14" t="s">
        <v>1570</v>
      </c>
      <c r="C669" s="10" t="s">
        <v>1571</v>
      </c>
      <c r="D669" s="25"/>
      <c r="E669" s="9" t="s">
        <v>1572</v>
      </c>
      <c r="F669" s="216">
        <v>218659000</v>
      </c>
      <c r="G669" s="217" t="s">
        <v>48</v>
      </c>
      <c r="H669" s="217" t="s">
        <v>48</v>
      </c>
      <c r="I669" s="218">
        <v>218659000</v>
      </c>
      <c r="J669" s="218">
        <v>167330107</v>
      </c>
      <c r="K669" s="217" t="s">
        <v>112</v>
      </c>
      <c r="L669" s="218">
        <v>167330107</v>
      </c>
      <c r="M669" s="217" t="s">
        <v>113</v>
      </c>
      <c r="N669" s="217" t="s">
        <v>114</v>
      </c>
      <c r="O669" s="219">
        <v>0.76529999999999998</v>
      </c>
      <c r="P669" s="8">
        <f>SUM(P670:P673)</f>
        <v>524504487</v>
      </c>
      <c r="Q669" s="183">
        <f t="shared" ref="Q669:Q738" si="209">+(P669-I669)/P669</f>
        <v>0.58311319460647437</v>
      </c>
      <c r="R669" s="347">
        <f>SUM(R670:R673)</f>
        <v>524504487</v>
      </c>
    </row>
    <row r="670" spans="1:18" s="177" customFormat="1">
      <c r="A670" s="79"/>
      <c r="B670" s="80"/>
      <c r="C670" s="79" t="s">
        <v>1571</v>
      </c>
      <c r="D670" s="28" t="s">
        <v>1086</v>
      </c>
      <c r="E670" s="29" t="s">
        <v>1087</v>
      </c>
      <c r="F670" s="227">
        <v>90628000</v>
      </c>
      <c r="G670" s="225" t="s">
        <v>48</v>
      </c>
      <c r="H670" s="225" t="s">
        <v>48</v>
      </c>
      <c r="I670" s="228">
        <v>90628000</v>
      </c>
      <c r="J670" s="228">
        <v>53018707</v>
      </c>
      <c r="K670" s="225" t="s">
        <v>112</v>
      </c>
      <c r="L670" s="228">
        <v>53018707</v>
      </c>
      <c r="M670" s="225" t="s">
        <v>113</v>
      </c>
      <c r="N670" s="225" t="s">
        <v>114</v>
      </c>
      <c r="O670" s="226">
        <v>0.58499999999999996</v>
      </c>
      <c r="P670" s="30">
        <v>110830305</v>
      </c>
      <c r="Q670" s="183">
        <f t="shared" si="209"/>
        <v>0.18228141662156394</v>
      </c>
      <c r="R670" s="171">
        <v>110830305</v>
      </c>
    </row>
    <row r="671" spans="1:18" s="177" customFormat="1">
      <c r="A671" s="79"/>
      <c r="B671" s="80"/>
      <c r="C671" s="79" t="s">
        <v>1571</v>
      </c>
      <c r="D671" s="28" t="s">
        <v>1084</v>
      </c>
      <c r="E671" s="29" t="s">
        <v>1085</v>
      </c>
      <c r="F671" s="227">
        <v>1155000</v>
      </c>
      <c r="G671" s="225" t="s">
        <v>48</v>
      </c>
      <c r="H671" s="225" t="s">
        <v>48</v>
      </c>
      <c r="I671" s="228">
        <v>1155000</v>
      </c>
      <c r="J671" s="225" t="s">
        <v>305</v>
      </c>
      <c r="K671" s="225" t="s">
        <v>112</v>
      </c>
      <c r="L671" s="225" t="s">
        <v>112</v>
      </c>
      <c r="M671" s="225" t="s">
        <v>113</v>
      </c>
      <c r="N671" s="225" t="s">
        <v>114</v>
      </c>
      <c r="O671" s="226">
        <v>0</v>
      </c>
      <c r="P671" s="30">
        <v>1221182</v>
      </c>
      <c r="Q671" s="183">
        <f t="shared" si="209"/>
        <v>5.419503399165726E-2</v>
      </c>
      <c r="R671" s="171">
        <v>1221182</v>
      </c>
    </row>
    <row r="672" spans="1:18" s="177" customFormat="1">
      <c r="A672" s="79"/>
      <c r="B672" s="80"/>
      <c r="C672" s="79" t="s">
        <v>1571</v>
      </c>
      <c r="D672" s="28" t="s">
        <v>1101</v>
      </c>
      <c r="E672" s="29" t="s">
        <v>1102</v>
      </c>
      <c r="F672" s="227">
        <v>126876000</v>
      </c>
      <c r="G672" s="225" t="s">
        <v>48</v>
      </c>
      <c r="H672" s="225" t="s">
        <v>48</v>
      </c>
      <c r="I672" s="228">
        <v>126876000</v>
      </c>
      <c r="J672" s="228">
        <v>114311400</v>
      </c>
      <c r="K672" s="225" t="s">
        <v>112</v>
      </c>
      <c r="L672" s="228">
        <v>114311400</v>
      </c>
      <c r="M672" s="225" t="s">
        <v>113</v>
      </c>
      <c r="N672" s="225" t="s">
        <v>114</v>
      </c>
      <c r="O672" s="226">
        <v>0.90100000000000002</v>
      </c>
      <c r="P672" s="30">
        <v>397453000</v>
      </c>
      <c r="Q672" s="183">
        <f t="shared" si="209"/>
        <v>0.68077734977469029</v>
      </c>
      <c r="R672" s="171">
        <v>397453000</v>
      </c>
    </row>
    <row r="673" spans="1:18" s="177" customFormat="1">
      <c r="A673" s="79"/>
      <c r="B673" s="80"/>
      <c r="C673" s="79"/>
      <c r="D673" s="28" t="s">
        <v>1088</v>
      </c>
      <c r="E673" s="29" t="s">
        <v>1089</v>
      </c>
      <c r="F673" s="30"/>
      <c r="G673" s="30"/>
      <c r="H673" s="30"/>
      <c r="I673" s="30"/>
      <c r="J673" s="30"/>
      <c r="K673" s="30"/>
      <c r="L673" s="30"/>
      <c r="M673" s="30"/>
      <c r="N673" s="30"/>
      <c r="O673" s="159"/>
      <c r="P673" s="30">
        <v>15000000</v>
      </c>
      <c r="Q673" s="183">
        <f t="shared" si="209"/>
        <v>1</v>
      </c>
      <c r="R673" s="171">
        <v>15000000</v>
      </c>
    </row>
    <row r="674" spans="1:18" s="176" customFormat="1">
      <c r="A674" s="10" t="s">
        <v>1573</v>
      </c>
      <c r="B674" s="14" t="s">
        <v>1574</v>
      </c>
      <c r="C674" s="10" t="s">
        <v>1575</v>
      </c>
      <c r="D674" s="25"/>
      <c r="E674" s="9" t="s">
        <v>1576</v>
      </c>
      <c r="F674" s="272">
        <v>5704358000</v>
      </c>
      <c r="G674" s="273">
        <v>3193429905</v>
      </c>
      <c r="H674" s="273">
        <v>3193429905</v>
      </c>
      <c r="I674" s="273">
        <v>8897787905</v>
      </c>
      <c r="J674" s="273">
        <v>7185217286</v>
      </c>
      <c r="K674" s="273">
        <v>2395072429</v>
      </c>
      <c r="L674" s="273">
        <v>7185217286</v>
      </c>
      <c r="M674" s="273">
        <v>645514491</v>
      </c>
      <c r="N674" s="273">
        <v>4011528634</v>
      </c>
      <c r="O674" s="274">
        <v>0.8075</v>
      </c>
      <c r="P674" s="8">
        <f t="shared" ref="P674" si="210">+P675</f>
        <v>9208655000</v>
      </c>
      <c r="Q674" s="183">
        <f t="shared" si="209"/>
        <v>3.3758143290198189E-2</v>
      </c>
      <c r="R674" s="347">
        <f>+R675</f>
        <v>9208655000</v>
      </c>
    </row>
    <row r="675" spans="1:18" s="177" customFormat="1">
      <c r="A675" s="79"/>
      <c r="B675" s="80"/>
      <c r="C675" s="79" t="s">
        <v>1575</v>
      </c>
      <c r="D675" s="28" t="s">
        <v>1101</v>
      </c>
      <c r="E675" s="29" t="s">
        <v>1102</v>
      </c>
      <c r="F675" s="227">
        <v>5704358000</v>
      </c>
      <c r="G675" s="228">
        <v>3193429905</v>
      </c>
      <c r="H675" s="228">
        <v>3193429905</v>
      </c>
      <c r="I675" s="228">
        <v>8897787905</v>
      </c>
      <c r="J675" s="228">
        <v>7185217286</v>
      </c>
      <c r="K675" s="228">
        <v>2395072429</v>
      </c>
      <c r="L675" s="228">
        <v>7185217286</v>
      </c>
      <c r="M675" s="228">
        <v>645514491</v>
      </c>
      <c r="N675" s="228">
        <v>4011528634</v>
      </c>
      <c r="O675" s="226">
        <v>0.8075</v>
      </c>
      <c r="P675" s="30">
        <v>9208655000</v>
      </c>
      <c r="Q675" s="183">
        <f t="shared" si="209"/>
        <v>3.3758143290198189E-2</v>
      </c>
      <c r="R675" s="171">
        <v>9208655000</v>
      </c>
    </row>
    <row r="676" spans="1:18" s="176" customFormat="1">
      <c r="A676" s="10" t="s">
        <v>1577</v>
      </c>
      <c r="B676" s="14" t="s">
        <v>1578</v>
      </c>
      <c r="C676" s="10" t="s">
        <v>1579</v>
      </c>
      <c r="D676" s="25"/>
      <c r="E676" s="9" t="s">
        <v>1580</v>
      </c>
      <c r="F676" s="216">
        <v>89870000</v>
      </c>
      <c r="G676" s="217" t="s">
        <v>48</v>
      </c>
      <c r="H676" s="218">
        <v>-89870000</v>
      </c>
      <c r="I676" s="217" t="s">
        <v>304</v>
      </c>
      <c r="J676" s="217" t="s">
        <v>305</v>
      </c>
      <c r="K676" s="217" t="s">
        <v>112</v>
      </c>
      <c r="L676" s="217" t="s">
        <v>112</v>
      </c>
      <c r="M676" s="217" t="s">
        <v>113</v>
      </c>
      <c r="N676" s="217" t="s">
        <v>114</v>
      </c>
      <c r="O676" s="219">
        <v>0</v>
      </c>
      <c r="P676" s="8">
        <f t="shared" ref="P676" si="211">+P677</f>
        <v>312000000</v>
      </c>
      <c r="Q676" s="183" t="e">
        <f t="shared" si="209"/>
        <v>#VALUE!</v>
      </c>
      <c r="R676" s="347">
        <f>+R677</f>
        <v>312000000</v>
      </c>
    </row>
    <row r="677" spans="1:18" s="177" customFormat="1">
      <c r="A677" s="79"/>
      <c r="B677" s="80"/>
      <c r="C677" s="79" t="s">
        <v>1579</v>
      </c>
      <c r="D677" s="28" t="s">
        <v>1101</v>
      </c>
      <c r="E677" s="29" t="s">
        <v>1102</v>
      </c>
      <c r="F677" s="227">
        <v>89870000</v>
      </c>
      <c r="G677" s="225" t="s">
        <v>48</v>
      </c>
      <c r="H677" s="228">
        <v>-89870000</v>
      </c>
      <c r="I677" s="225" t="s">
        <v>304</v>
      </c>
      <c r="J677" s="225" t="s">
        <v>305</v>
      </c>
      <c r="K677" s="225" t="s">
        <v>112</v>
      </c>
      <c r="L677" s="225" t="s">
        <v>112</v>
      </c>
      <c r="M677" s="225" t="s">
        <v>113</v>
      </c>
      <c r="N677" s="225" t="s">
        <v>114</v>
      </c>
      <c r="O677" s="226">
        <v>0</v>
      </c>
      <c r="P677" s="30">
        <v>312000000</v>
      </c>
      <c r="Q677" s="183" t="e">
        <f t="shared" si="209"/>
        <v>#VALUE!</v>
      </c>
      <c r="R677" s="171">
        <v>312000000</v>
      </c>
    </row>
    <row r="678" spans="1:18" s="175" customFormat="1">
      <c r="A678" s="72" t="s">
        <v>1581</v>
      </c>
      <c r="B678" s="73" t="s">
        <v>989</v>
      </c>
      <c r="C678" s="74" t="s">
        <v>1582</v>
      </c>
      <c r="D678" s="75"/>
      <c r="E678" s="20" t="s">
        <v>1583</v>
      </c>
      <c r="F678" s="206">
        <v>2434838000</v>
      </c>
      <c r="G678" s="207" t="s">
        <v>35</v>
      </c>
      <c r="H678" s="208">
        <v>197036240</v>
      </c>
      <c r="I678" s="208">
        <v>2631874240</v>
      </c>
      <c r="J678" s="208">
        <v>1630000454</v>
      </c>
      <c r="K678" s="208">
        <v>54248305</v>
      </c>
      <c r="L678" s="208">
        <v>1336433013</v>
      </c>
      <c r="M678" s="208">
        <v>93272218</v>
      </c>
      <c r="N678" s="208">
        <v>630541087</v>
      </c>
      <c r="O678" s="209">
        <v>0.50780000000000003</v>
      </c>
      <c r="P678" s="76">
        <f t="shared" ref="P678" si="212">+P679+P689+P725</f>
        <v>3674090429</v>
      </c>
      <c r="Q678" s="183">
        <f t="shared" si="209"/>
        <v>0.28366645000723795</v>
      </c>
      <c r="R678" s="345">
        <f>+R679+R689+R725</f>
        <v>3674090429</v>
      </c>
    </row>
    <row r="679" spans="1:18" s="177" customFormat="1">
      <c r="A679" s="39" t="s">
        <v>1584</v>
      </c>
      <c r="B679" s="95" t="s">
        <v>989</v>
      </c>
      <c r="C679" s="96" t="s">
        <v>1585</v>
      </c>
      <c r="D679" s="38"/>
      <c r="E679" s="39" t="s">
        <v>1586</v>
      </c>
      <c r="F679" s="249">
        <v>437487000</v>
      </c>
      <c r="G679" s="250" t="s">
        <v>35</v>
      </c>
      <c r="H679" s="251">
        <v>-52042000</v>
      </c>
      <c r="I679" s="251">
        <v>385445000</v>
      </c>
      <c r="J679" s="251">
        <v>336589055</v>
      </c>
      <c r="K679" s="250" t="s">
        <v>314</v>
      </c>
      <c r="L679" s="251">
        <v>333139055</v>
      </c>
      <c r="M679" s="251">
        <v>5765126</v>
      </c>
      <c r="N679" s="251">
        <v>17058709</v>
      </c>
      <c r="O679" s="252">
        <v>0.86429999999999996</v>
      </c>
      <c r="P679" s="97">
        <f t="shared" ref="P679" si="213">+P680</f>
        <v>396655583</v>
      </c>
      <c r="Q679" s="183">
        <f t="shared" si="209"/>
        <v>2.8262763668197254E-2</v>
      </c>
      <c r="R679" s="355">
        <f>+R680</f>
        <v>396655583</v>
      </c>
    </row>
    <row r="680" spans="1:18" s="176" customFormat="1">
      <c r="A680" s="10" t="s">
        <v>1587</v>
      </c>
      <c r="B680" s="14" t="s">
        <v>1588</v>
      </c>
      <c r="C680" s="10" t="s">
        <v>1589</v>
      </c>
      <c r="D680" s="25"/>
      <c r="E680" s="9" t="s">
        <v>1590</v>
      </c>
      <c r="F680" s="216">
        <v>437487000</v>
      </c>
      <c r="G680" s="217" t="s">
        <v>48</v>
      </c>
      <c r="H680" s="218">
        <v>-52042000</v>
      </c>
      <c r="I680" s="218">
        <v>385445000</v>
      </c>
      <c r="J680" s="218">
        <v>336589055</v>
      </c>
      <c r="K680" s="217" t="s">
        <v>112</v>
      </c>
      <c r="L680" s="218">
        <v>333139055</v>
      </c>
      <c r="M680" s="218">
        <v>5765126</v>
      </c>
      <c r="N680" s="218">
        <v>17058709</v>
      </c>
      <c r="O680" s="219">
        <v>0.86429999999999996</v>
      </c>
      <c r="P680" s="8">
        <f t="shared" ref="P680" si="214">SUM(P681:P687)</f>
        <v>396655583</v>
      </c>
      <c r="Q680" s="183">
        <f t="shared" si="209"/>
        <v>2.8262763668197254E-2</v>
      </c>
      <c r="R680" s="347">
        <f>SUM(R681:R687)</f>
        <v>396655583</v>
      </c>
    </row>
    <row r="681" spans="1:18" s="177" customFormat="1">
      <c r="A681" s="79"/>
      <c r="B681" s="80"/>
      <c r="C681" s="79" t="s">
        <v>1589</v>
      </c>
      <c r="D681" s="28" t="s">
        <v>1001</v>
      </c>
      <c r="E681" s="29" t="s">
        <v>1314</v>
      </c>
      <c r="F681" s="227">
        <v>48000000</v>
      </c>
      <c r="G681" s="225" t="s">
        <v>48</v>
      </c>
      <c r="H681" s="228">
        <v>-48000000</v>
      </c>
      <c r="I681" s="225" t="s">
        <v>304</v>
      </c>
      <c r="J681" s="225" t="s">
        <v>305</v>
      </c>
      <c r="K681" s="225" t="s">
        <v>112</v>
      </c>
      <c r="L681" s="225" t="s">
        <v>112</v>
      </c>
      <c r="M681" s="225" t="s">
        <v>113</v>
      </c>
      <c r="N681" s="225" t="s">
        <v>114</v>
      </c>
      <c r="O681" s="226">
        <v>0</v>
      </c>
      <c r="P681" s="30"/>
      <c r="Q681" s="183" t="e">
        <f t="shared" si="209"/>
        <v>#VALUE!</v>
      </c>
      <c r="R681" s="171"/>
    </row>
    <row r="682" spans="1:18" s="177" customFormat="1">
      <c r="A682" s="79"/>
      <c r="B682" s="80"/>
      <c r="C682" s="79" t="s">
        <v>1589</v>
      </c>
      <c r="D682" s="28" t="s">
        <v>1248</v>
      </c>
      <c r="E682" s="29" t="s">
        <v>1249</v>
      </c>
      <c r="F682" s="227">
        <v>21009000</v>
      </c>
      <c r="G682" s="225" t="s">
        <v>48</v>
      </c>
      <c r="H682" s="225" t="s">
        <v>48</v>
      </c>
      <c r="I682" s="228">
        <v>21009000</v>
      </c>
      <c r="J682" s="228">
        <v>20745378</v>
      </c>
      <c r="K682" s="225" t="s">
        <v>112</v>
      </c>
      <c r="L682" s="228">
        <v>17295378</v>
      </c>
      <c r="M682" s="228">
        <v>5765126</v>
      </c>
      <c r="N682" s="228">
        <v>15373669</v>
      </c>
      <c r="O682" s="226">
        <v>0.82320000000000004</v>
      </c>
      <c r="P682" s="30">
        <v>2500000</v>
      </c>
      <c r="Q682" s="183">
        <f t="shared" si="209"/>
        <v>-7.4036</v>
      </c>
      <c r="R682" s="171">
        <v>2500000</v>
      </c>
    </row>
    <row r="683" spans="1:18" s="177" customFormat="1">
      <c r="A683" s="79"/>
      <c r="B683" s="80"/>
      <c r="C683" s="79" t="s">
        <v>1589</v>
      </c>
      <c r="D683" s="28" t="s">
        <v>409</v>
      </c>
      <c r="E683" s="29" t="s">
        <v>1220</v>
      </c>
      <c r="F683" s="227">
        <v>28870000</v>
      </c>
      <c r="G683" s="225" t="s">
        <v>48</v>
      </c>
      <c r="H683" s="225" t="s">
        <v>48</v>
      </c>
      <c r="I683" s="228">
        <v>28870000</v>
      </c>
      <c r="J683" s="225" t="s">
        <v>305</v>
      </c>
      <c r="K683" s="225" t="s">
        <v>112</v>
      </c>
      <c r="L683" s="225" t="s">
        <v>112</v>
      </c>
      <c r="M683" s="225" t="s">
        <v>113</v>
      </c>
      <c r="N683" s="225" t="s">
        <v>114</v>
      </c>
      <c r="O683" s="226">
        <v>0</v>
      </c>
      <c r="P683" s="30">
        <v>30000000</v>
      </c>
      <c r="Q683" s="183">
        <f t="shared" si="209"/>
        <v>3.7666666666666668E-2</v>
      </c>
      <c r="R683" s="171">
        <v>30000000</v>
      </c>
    </row>
    <row r="684" spans="1:18" s="177" customFormat="1">
      <c r="A684" s="79"/>
      <c r="B684" s="80"/>
      <c r="C684" s="79" t="s">
        <v>1589</v>
      </c>
      <c r="D684" s="28" t="s">
        <v>393</v>
      </c>
      <c r="E684" s="29" t="s">
        <v>1216</v>
      </c>
      <c r="F684" s="227">
        <v>13049000</v>
      </c>
      <c r="G684" s="225" t="s">
        <v>48</v>
      </c>
      <c r="H684" s="225" t="s">
        <v>48</v>
      </c>
      <c r="I684" s="228">
        <v>13049000</v>
      </c>
      <c r="J684" s="225" t="s">
        <v>305</v>
      </c>
      <c r="K684" s="225" t="s">
        <v>112</v>
      </c>
      <c r="L684" s="225" t="s">
        <v>112</v>
      </c>
      <c r="M684" s="225" t="s">
        <v>113</v>
      </c>
      <c r="N684" s="225" t="s">
        <v>114</v>
      </c>
      <c r="O684" s="226">
        <v>0</v>
      </c>
      <c r="P684" s="30">
        <v>13638815</v>
      </c>
      <c r="Q684" s="183">
        <f t="shared" si="209"/>
        <v>4.3245325931908309E-2</v>
      </c>
      <c r="R684" s="171">
        <v>13638815</v>
      </c>
    </row>
    <row r="685" spans="1:18" s="177" customFormat="1">
      <c r="A685" s="79"/>
      <c r="B685" s="80"/>
      <c r="C685" s="79" t="s">
        <v>1589</v>
      </c>
      <c r="D685" s="28" t="s">
        <v>401</v>
      </c>
      <c r="E685" s="29" t="s">
        <v>1358</v>
      </c>
      <c r="F685" s="227">
        <v>7517000</v>
      </c>
      <c r="G685" s="225" t="s">
        <v>48</v>
      </c>
      <c r="H685" s="225" t="s">
        <v>48</v>
      </c>
      <c r="I685" s="228">
        <v>7517000</v>
      </c>
      <c r="J685" s="228">
        <v>1685040</v>
      </c>
      <c r="K685" s="225" t="s">
        <v>112</v>
      </c>
      <c r="L685" s="228">
        <v>1685040</v>
      </c>
      <c r="M685" s="225" t="s">
        <v>113</v>
      </c>
      <c r="N685" s="228">
        <v>1685040</v>
      </c>
      <c r="O685" s="226">
        <v>0.22420000000000001</v>
      </c>
      <c r="P685" s="30">
        <v>7856768</v>
      </c>
      <c r="Q685" s="183">
        <f t="shared" si="209"/>
        <v>4.3245263192193024E-2</v>
      </c>
      <c r="R685" s="171">
        <v>7856768</v>
      </c>
    </row>
    <row r="686" spans="1:18" s="177" customFormat="1">
      <c r="A686" s="79"/>
      <c r="B686" s="80"/>
      <c r="C686" s="79" t="s">
        <v>1589</v>
      </c>
      <c r="D686" s="28" t="s">
        <v>1224</v>
      </c>
      <c r="E686" s="29" t="s">
        <v>1225</v>
      </c>
      <c r="F686" s="227">
        <v>4042000</v>
      </c>
      <c r="G686" s="225" t="s">
        <v>48</v>
      </c>
      <c r="H686" s="228">
        <v>-4042000</v>
      </c>
      <c r="I686" s="225" t="s">
        <v>304</v>
      </c>
      <c r="J686" s="225" t="s">
        <v>305</v>
      </c>
      <c r="K686" s="225" t="s">
        <v>112</v>
      </c>
      <c r="L686" s="225" t="s">
        <v>112</v>
      </c>
      <c r="M686" s="225" t="s">
        <v>113</v>
      </c>
      <c r="N686" s="225" t="s">
        <v>114</v>
      </c>
      <c r="O686" s="226">
        <v>0</v>
      </c>
      <c r="P686" s="30">
        <v>7000000</v>
      </c>
      <c r="Q686" s="183" t="e">
        <f t="shared" si="209"/>
        <v>#VALUE!</v>
      </c>
      <c r="R686" s="171">
        <v>7000000</v>
      </c>
    </row>
    <row r="687" spans="1:18" s="177" customFormat="1">
      <c r="A687" s="79"/>
      <c r="B687" s="80"/>
      <c r="C687" s="79" t="s">
        <v>1589</v>
      </c>
      <c r="D687" s="28" t="s">
        <v>1046</v>
      </c>
      <c r="E687" s="29" t="s">
        <v>1047</v>
      </c>
      <c r="F687" s="227">
        <v>315000000</v>
      </c>
      <c r="G687" s="225" t="s">
        <v>48</v>
      </c>
      <c r="H687" s="225" t="s">
        <v>48</v>
      </c>
      <c r="I687" s="228">
        <v>315000000</v>
      </c>
      <c r="J687" s="228">
        <v>314158637</v>
      </c>
      <c r="K687" s="225" t="s">
        <v>112</v>
      </c>
      <c r="L687" s="228">
        <v>314158637</v>
      </c>
      <c r="M687" s="225" t="s">
        <v>113</v>
      </c>
      <c r="N687" s="225" t="s">
        <v>114</v>
      </c>
      <c r="O687" s="226">
        <v>0.99729999999999996</v>
      </c>
      <c r="P687" s="30">
        <f>78900000+120000000+136760000</f>
        <v>335660000</v>
      </c>
      <c r="Q687" s="183">
        <f t="shared" si="209"/>
        <v>6.1550378359053803E-2</v>
      </c>
      <c r="R687" s="171">
        <f>78900000+120000000+136760000</f>
        <v>335660000</v>
      </c>
    </row>
    <row r="688" spans="1:18" s="177" customFormat="1">
      <c r="A688" s="79"/>
      <c r="B688" s="80"/>
      <c r="C688" s="79"/>
      <c r="D688" s="28" t="s">
        <v>405</v>
      </c>
      <c r="E688" s="29" t="s">
        <v>1219</v>
      </c>
      <c r="F688" s="30"/>
      <c r="G688" s="30"/>
      <c r="H688" s="30"/>
      <c r="I688" s="30"/>
      <c r="J688" s="30"/>
      <c r="K688" s="30"/>
      <c r="L688" s="30"/>
      <c r="M688" s="30"/>
      <c r="N688" s="30"/>
      <c r="O688" s="159"/>
      <c r="P688" s="30">
        <v>60000000</v>
      </c>
      <c r="Q688" s="183">
        <f t="shared" si="209"/>
        <v>1</v>
      </c>
      <c r="R688" s="171">
        <v>60000000</v>
      </c>
    </row>
    <row r="689" spans="1:18" s="177" customFormat="1">
      <c r="A689" s="39" t="s">
        <v>1591</v>
      </c>
      <c r="B689" s="95" t="s">
        <v>1552</v>
      </c>
      <c r="C689" s="96" t="s">
        <v>1592</v>
      </c>
      <c r="D689" s="38"/>
      <c r="E689" s="39" t="s">
        <v>1593</v>
      </c>
      <c r="F689" s="276">
        <v>1997351000</v>
      </c>
      <c r="G689" s="277" t="s">
        <v>35</v>
      </c>
      <c r="H689" s="278">
        <v>249078240</v>
      </c>
      <c r="I689" s="278">
        <v>2246429240</v>
      </c>
      <c r="J689" s="278">
        <v>1293411399</v>
      </c>
      <c r="K689" s="278">
        <v>54248305</v>
      </c>
      <c r="L689" s="278">
        <v>1003293958</v>
      </c>
      <c r="M689" s="278">
        <v>87507092</v>
      </c>
      <c r="N689" s="278">
        <v>613482378</v>
      </c>
      <c r="O689" s="279">
        <v>0.4466</v>
      </c>
      <c r="P689" s="97">
        <f t="shared" ref="P689" si="215">+P690</f>
        <v>3277434846</v>
      </c>
      <c r="Q689" s="183">
        <f t="shared" si="209"/>
        <v>0.31457699525539251</v>
      </c>
      <c r="R689" s="355">
        <f>+R690</f>
        <v>3277434846</v>
      </c>
    </row>
    <row r="690" spans="1:18" s="177" customFormat="1">
      <c r="A690" s="41" t="s">
        <v>1594</v>
      </c>
      <c r="B690" s="98" t="s">
        <v>989</v>
      </c>
      <c r="C690" s="99" t="s">
        <v>1595</v>
      </c>
      <c r="D690" s="40"/>
      <c r="E690" s="41" t="s">
        <v>1596</v>
      </c>
      <c r="F690" s="280">
        <v>1997351000</v>
      </c>
      <c r="G690" s="281" t="s">
        <v>35</v>
      </c>
      <c r="H690" s="282">
        <v>249078240</v>
      </c>
      <c r="I690" s="282">
        <v>2246429240</v>
      </c>
      <c r="J690" s="282">
        <v>1293411399</v>
      </c>
      <c r="K690" s="282">
        <v>54248305</v>
      </c>
      <c r="L690" s="282">
        <v>1003293958</v>
      </c>
      <c r="M690" s="282">
        <v>87507092</v>
      </c>
      <c r="N690" s="282">
        <v>613482378</v>
      </c>
      <c r="O690" s="283">
        <v>0.4466</v>
      </c>
      <c r="P690" s="100">
        <f t="shared" ref="P690" si="216">+P691+P710</f>
        <v>3277434846</v>
      </c>
      <c r="Q690" s="183">
        <f t="shared" si="209"/>
        <v>0.31457699525539251</v>
      </c>
      <c r="R690" s="358">
        <f>+R691+R710</f>
        <v>3277434846</v>
      </c>
    </row>
    <row r="691" spans="1:18">
      <c r="A691" s="10"/>
      <c r="B691" s="14" t="s">
        <v>1597</v>
      </c>
      <c r="C691" s="10" t="s">
        <v>1598</v>
      </c>
      <c r="D691" s="25"/>
      <c r="E691" s="9" t="s">
        <v>1596</v>
      </c>
      <c r="F691" s="216">
        <v>1717610000</v>
      </c>
      <c r="G691" s="217" t="s">
        <v>48</v>
      </c>
      <c r="H691" s="218">
        <v>75328240</v>
      </c>
      <c r="I691" s="218">
        <v>1792938240</v>
      </c>
      <c r="J691" s="218">
        <v>941545393</v>
      </c>
      <c r="K691" s="218">
        <v>49900186</v>
      </c>
      <c r="L691" s="218">
        <v>887580600</v>
      </c>
      <c r="M691" s="218">
        <v>87507092</v>
      </c>
      <c r="N691" s="218">
        <v>510146439</v>
      </c>
      <c r="O691" s="219">
        <v>0.495</v>
      </c>
      <c r="P691" s="8">
        <f>SUM(P692:P709)</f>
        <v>2600480776</v>
      </c>
      <c r="Q691" s="183">
        <f t="shared" si="209"/>
        <v>0.31053586069655298</v>
      </c>
      <c r="R691" s="347">
        <f>SUM(R692:R709)</f>
        <v>2600480776</v>
      </c>
    </row>
    <row r="692" spans="1:18" s="177" customFormat="1">
      <c r="A692" s="79"/>
      <c r="B692" s="80"/>
      <c r="C692" s="79" t="s">
        <v>1598</v>
      </c>
      <c r="D692" s="28" t="s">
        <v>1226</v>
      </c>
      <c r="E692" s="29" t="s">
        <v>1183</v>
      </c>
      <c r="F692" s="227">
        <v>10500000</v>
      </c>
      <c r="G692" s="225" t="s">
        <v>48</v>
      </c>
      <c r="H692" s="225" t="s">
        <v>48</v>
      </c>
      <c r="I692" s="228">
        <v>10500000</v>
      </c>
      <c r="J692" s="228">
        <v>5694000</v>
      </c>
      <c r="K692" s="228">
        <v>2847000</v>
      </c>
      <c r="L692" s="228">
        <v>5694000</v>
      </c>
      <c r="M692" s="228">
        <v>2847000</v>
      </c>
      <c r="N692" s="228">
        <v>5694000</v>
      </c>
      <c r="O692" s="226">
        <v>0.5423</v>
      </c>
      <c r="P692" s="30">
        <v>10975650</v>
      </c>
      <c r="Q692" s="183">
        <f t="shared" si="209"/>
        <v>4.3336841098249305E-2</v>
      </c>
      <c r="R692" s="171">
        <v>10975650</v>
      </c>
    </row>
    <row r="693" spans="1:18" s="177" customFormat="1">
      <c r="A693" s="79"/>
      <c r="B693" s="80"/>
      <c r="C693" s="79" t="s">
        <v>1598</v>
      </c>
      <c r="D693" s="28" t="s">
        <v>1022</v>
      </c>
      <c r="E693" s="29" t="s">
        <v>1023</v>
      </c>
      <c r="F693" s="227">
        <v>164419000</v>
      </c>
      <c r="G693" s="225" t="s">
        <v>48</v>
      </c>
      <c r="H693" s="228">
        <v>60000000</v>
      </c>
      <c r="I693" s="228">
        <v>224419000</v>
      </c>
      <c r="J693" s="228">
        <v>147392765</v>
      </c>
      <c r="K693" s="225" t="s">
        <v>112</v>
      </c>
      <c r="L693" s="228">
        <v>147392765</v>
      </c>
      <c r="M693" s="228">
        <v>30000000</v>
      </c>
      <c r="N693" s="228">
        <v>53201150</v>
      </c>
      <c r="O693" s="226">
        <v>0.65680000000000005</v>
      </c>
      <c r="P693" s="30">
        <f>100000000+100000000+93000000</f>
        <v>293000000</v>
      </c>
      <c r="Q693" s="183">
        <f t="shared" si="209"/>
        <v>0.23406484641638226</v>
      </c>
      <c r="R693" s="171">
        <f>100000000+100000000+93000000</f>
        <v>293000000</v>
      </c>
    </row>
    <row r="694" spans="1:18" s="177" customFormat="1">
      <c r="A694" s="79"/>
      <c r="B694" s="80"/>
      <c r="C694" s="79" t="s">
        <v>1598</v>
      </c>
      <c r="D694" s="28" t="s">
        <v>1248</v>
      </c>
      <c r="E694" s="29" t="s">
        <v>1249</v>
      </c>
      <c r="F694" s="227">
        <v>3132000</v>
      </c>
      <c r="G694" s="225" t="s">
        <v>48</v>
      </c>
      <c r="H694" s="225" t="s">
        <v>48</v>
      </c>
      <c r="I694" s="228">
        <v>3132000</v>
      </c>
      <c r="J694" s="225" t="s">
        <v>305</v>
      </c>
      <c r="K694" s="225" t="s">
        <v>112</v>
      </c>
      <c r="L694" s="225" t="s">
        <v>112</v>
      </c>
      <c r="M694" s="225" t="s">
        <v>113</v>
      </c>
      <c r="N694" s="225" t="s">
        <v>114</v>
      </c>
      <c r="O694" s="226">
        <v>0</v>
      </c>
      <c r="P694" s="30">
        <v>13000000</v>
      </c>
      <c r="Q694" s="183">
        <f t="shared" si="209"/>
        <v>0.75907692307692309</v>
      </c>
      <c r="R694" s="171">
        <v>13000000</v>
      </c>
    </row>
    <row r="695" spans="1:18" s="177" customFormat="1">
      <c r="A695" s="79"/>
      <c r="B695" s="80"/>
      <c r="C695" s="79" t="s">
        <v>1598</v>
      </c>
      <c r="D695" s="28" t="s">
        <v>1222</v>
      </c>
      <c r="E695" s="29" t="s">
        <v>1599</v>
      </c>
      <c r="F695" s="227">
        <v>60000000</v>
      </c>
      <c r="G695" s="225" t="s">
        <v>48</v>
      </c>
      <c r="H695" s="225" t="s">
        <v>48</v>
      </c>
      <c r="I695" s="228">
        <v>60000000</v>
      </c>
      <c r="J695" s="228">
        <v>4582848</v>
      </c>
      <c r="K695" s="225" t="s">
        <v>112</v>
      </c>
      <c r="L695" s="228">
        <v>4582848</v>
      </c>
      <c r="M695" s="225" t="s">
        <v>113</v>
      </c>
      <c r="N695" s="228">
        <v>4582848</v>
      </c>
      <c r="O695" s="226">
        <v>7.6399999999999996E-2</v>
      </c>
      <c r="P695" s="30">
        <v>30000000</v>
      </c>
      <c r="Q695" s="183">
        <f t="shared" si="209"/>
        <v>-1</v>
      </c>
      <c r="R695" s="171">
        <v>30000000</v>
      </c>
    </row>
    <row r="696" spans="1:18" s="177" customFormat="1">
      <c r="A696" s="79"/>
      <c r="B696" s="80"/>
      <c r="C696" s="79" t="s">
        <v>1598</v>
      </c>
      <c r="D696" s="28" t="s">
        <v>409</v>
      </c>
      <c r="E696" s="29" t="s">
        <v>1220</v>
      </c>
      <c r="F696" s="227">
        <v>385695000</v>
      </c>
      <c r="G696" s="225" t="s">
        <v>48</v>
      </c>
      <c r="H696" s="225" t="s">
        <v>48</v>
      </c>
      <c r="I696" s="228">
        <v>385695000</v>
      </c>
      <c r="J696" s="228">
        <v>139431661</v>
      </c>
      <c r="K696" s="228">
        <v>10346528</v>
      </c>
      <c r="L696" s="228">
        <v>139431661</v>
      </c>
      <c r="M696" s="228">
        <v>10346528</v>
      </c>
      <c r="N696" s="228">
        <v>73759654</v>
      </c>
      <c r="O696" s="226">
        <v>0.36149999999999999</v>
      </c>
      <c r="P696" s="30">
        <v>403128414</v>
      </c>
      <c r="Q696" s="183">
        <f t="shared" si="209"/>
        <v>4.3245311902028322E-2</v>
      </c>
      <c r="R696" s="171">
        <v>403128414</v>
      </c>
    </row>
    <row r="697" spans="1:18" s="177" customFormat="1">
      <c r="A697" s="79"/>
      <c r="B697" s="80"/>
      <c r="C697" s="79" t="s">
        <v>1598</v>
      </c>
      <c r="D697" s="28" t="s">
        <v>397</v>
      </c>
      <c r="E697" s="29" t="s">
        <v>1217</v>
      </c>
      <c r="F697" s="227">
        <v>118906000</v>
      </c>
      <c r="G697" s="225" t="s">
        <v>48</v>
      </c>
      <c r="H697" s="225" t="s">
        <v>48</v>
      </c>
      <c r="I697" s="228">
        <v>118906000</v>
      </c>
      <c r="J697" s="228">
        <v>27887340</v>
      </c>
      <c r="K697" s="228">
        <v>13285636</v>
      </c>
      <c r="L697" s="228">
        <v>27887340</v>
      </c>
      <c r="M697" s="228">
        <v>12185636</v>
      </c>
      <c r="N697" s="228">
        <v>26787340</v>
      </c>
      <c r="O697" s="226">
        <v>0.23449999999999999</v>
      </c>
      <c r="P697" s="30">
        <v>447913362</v>
      </c>
      <c r="Q697" s="183">
        <f t="shared" si="209"/>
        <v>0.73453348328554668</v>
      </c>
      <c r="R697" s="171">
        <v>447913362</v>
      </c>
    </row>
    <row r="698" spans="1:18" s="177" customFormat="1">
      <c r="A698" s="79"/>
      <c r="B698" s="80"/>
      <c r="C698" s="79" t="s">
        <v>1598</v>
      </c>
      <c r="D698" s="28" t="s">
        <v>393</v>
      </c>
      <c r="E698" s="29" t="s">
        <v>1216</v>
      </c>
      <c r="F698" s="227">
        <v>224490000</v>
      </c>
      <c r="G698" s="225" t="s">
        <v>48</v>
      </c>
      <c r="H698" s="225" t="s">
        <v>48</v>
      </c>
      <c r="I698" s="228">
        <v>224490000</v>
      </c>
      <c r="J698" s="228">
        <v>138001564</v>
      </c>
      <c r="K698" s="228">
        <v>16163022</v>
      </c>
      <c r="L698" s="228">
        <v>90402371</v>
      </c>
      <c r="M698" s="228">
        <v>12803022</v>
      </c>
      <c r="N698" s="228">
        <v>68142371</v>
      </c>
      <c r="O698" s="226">
        <v>0.4027</v>
      </c>
      <c r="P698" s="30">
        <v>249636948</v>
      </c>
      <c r="Q698" s="183">
        <f t="shared" si="209"/>
        <v>0.10073407883515705</v>
      </c>
      <c r="R698" s="171">
        <v>249636948</v>
      </c>
    </row>
    <row r="699" spans="1:18" s="177" customFormat="1">
      <c r="A699" s="79"/>
      <c r="B699" s="80"/>
      <c r="C699" s="79" t="s">
        <v>1598</v>
      </c>
      <c r="D699" s="28" t="s">
        <v>401</v>
      </c>
      <c r="E699" s="29" t="s">
        <v>1358</v>
      </c>
      <c r="F699" s="227">
        <v>88544000</v>
      </c>
      <c r="G699" s="225" t="s">
        <v>48</v>
      </c>
      <c r="H699" s="225" t="s">
        <v>48</v>
      </c>
      <c r="I699" s="228">
        <v>88544000</v>
      </c>
      <c r="J699" s="228">
        <v>17755121</v>
      </c>
      <c r="K699" s="228">
        <v>490000</v>
      </c>
      <c r="L699" s="228">
        <v>15089521</v>
      </c>
      <c r="M699" s="228">
        <v>490000</v>
      </c>
      <c r="N699" s="228">
        <v>8790851</v>
      </c>
      <c r="O699" s="226">
        <v>0.1704</v>
      </c>
      <c r="P699" s="30">
        <v>270000000</v>
      </c>
      <c r="Q699" s="183">
        <f t="shared" si="209"/>
        <v>0.67205925925925925</v>
      </c>
      <c r="R699" s="171">
        <v>270000000</v>
      </c>
    </row>
    <row r="700" spans="1:18" s="177" customFormat="1">
      <c r="A700" s="79"/>
      <c r="B700" s="80"/>
      <c r="C700" s="79" t="s">
        <v>1598</v>
      </c>
      <c r="D700" s="28" t="s">
        <v>419</v>
      </c>
      <c r="E700" s="29" t="s">
        <v>1221</v>
      </c>
      <c r="F700" s="227">
        <v>30476000</v>
      </c>
      <c r="G700" s="225" t="s">
        <v>48</v>
      </c>
      <c r="H700" s="225" t="s">
        <v>48</v>
      </c>
      <c r="I700" s="228">
        <v>30476000</v>
      </c>
      <c r="J700" s="228">
        <v>9080000</v>
      </c>
      <c r="K700" s="228">
        <v>200000</v>
      </c>
      <c r="L700" s="228">
        <v>8280000</v>
      </c>
      <c r="M700" s="225" t="s">
        <v>113</v>
      </c>
      <c r="N700" s="228">
        <v>8080000</v>
      </c>
      <c r="O700" s="226">
        <v>0.2717</v>
      </c>
      <c r="P700" s="30">
        <v>111520000</v>
      </c>
      <c r="Q700" s="183">
        <f t="shared" si="209"/>
        <v>0.72672166427546625</v>
      </c>
      <c r="R700" s="171">
        <v>111520000</v>
      </c>
    </row>
    <row r="701" spans="1:18" s="177" customFormat="1">
      <c r="A701" s="79"/>
      <c r="B701" s="80"/>
      <c r="C701" s="79" t="s">
        <v>1598</v>
      </c>
      <c r="D701" s="28" t="s">
        <v>405</v>
      </c>
      <c r="E701" s="29" t="s">
        <v>1219</v>
      </c>
      <c r="F701" s="227">
        <v>143448000</v>
      </c>
      <c r="G701" s="225" t="s">
        <v>48</v>
      </c>
      <c r="H701" s="225" t="s">
        <v>48</v>
      </c>
      <c r="I701" s="228">
        <v>143448000</v>
      </c>
      <c r="J701" s="228">
        <v>103069000</v>
      </c>
      <c r="K701" s="228">
        <v>4918000</v>
      </c>
      <c r="L701" s="228">
        <v>100169000</v>
      </c>
      <c r="M701" s="228">
        <v>17184906</v>
      </c>
      <c r="N701" s="228">
        <v>29865906</v>
      </c>
      <c r="O701" s="226">
        <v>0.69830000000000003</v>
      </c>
      <c r="P701" s="30">
        <v>153489360</v>
      </c>
      <c r="Q701" s="183">
        <f t="shared" si="209"/>
        <v>6.5420560747663545E-2</v>
      </c>
      <c r="R701" s="171">
        <v>153489360</v>
      </c>
    </row>
    <row r="702" spans="1:18" s="177" customFormat="1">
      <c r="A702" s="79"/>
      <c r="B702" s="80"/>
      <c r="C702" s="79" t="s">
        <v>1598</v>
      </c>
      <c r="D702" s="28" t="s">
        <v>423</v>
      </c>
      <c r="E702" s="29" t="s">
        <v>1135</v>
      </c>
      <c r="F702" s="227">
        <v>25000000</v>
      </c>
      <c r="G702" s="225" t="s">
        <v>48</v>
      </c>
      <c r="H702" s="225" t="s">
        <v>48</v>
      </c>
      <c r="I702" s="228">
        <v>25000000</v>
      </c>
      <c r="J702" s="225" t="s">
        <v>305</v>
      </c>
      <c r="K702" s="225" t="s">
        <v>112</v>
      </c>
      <c r="L702" s="225" t="s">
        <v>112</v>
      </c>
      <c r="M702" s="225" t="s">
        <v>113</v>
      </c>
      <c r="N702" s="225" t="s">
        <v>114</v>
      </c>
      <c r="O702" s="226">
        <v>0</v>
      </c>
      <c r="P702" s="30">
        <v>50000000</v>
      </c>
      <c r="Q702" s="183">
        <f t="shared" si="209"/>
        <v>0.5</v>
      </c>
      <c r="R702" s="171">
        <v>50000000</v>
      </c>
    </row>
    <row r="703" spans="1:18" s="177" customFormat="1">
      <c r="A703" s="79"/>
      <c r="B703" s="80"/>
      <c r="C703" s="79" t="s">
        <v>1598</v>
      </c>
      <c r="D703" s="28" t="s">
        <v>1431</v>
      </c>
      <c r="E703" s="29" t="s">
        <v>1432</v>
      </c>
      <c r="F703" s="227">
        <v>103871000</v>
      </c>
      <c r="G703" s="225" t="s">
        <v>48</v>
      </c>
      <c r="H703" s="228">
        <v>-4901760</v>
      </c>
      <c r="I703" s="228">
        <v>98969240</v>
      </c>
      <c r="J703" s="228">
        <v>94243240</v>
      </c>
      <c r="K703" s="225" t="s">
        <v>112</v>
      </c>
      <c r="L703" s="228">
        <v>94243240</v>
      </c>
      <c r="M703" s="225" t="s">
        <v>113</v>
      </c>
      <c r="N703" s="225" t="s">
        <v>114</v>
      </c>
      <c r="O703" s="226">
        <v>0.95220000000000005</v>
      </c>
      <c r="P703" s="30">
        <f>70000000+80000000</f>
        <v>150000000</v>
      </c>
      <c r="Q703" s="183">
        <f t="shared" si="209"/>
        <v>0.34020506666666667</v>
      </c>
      <c r="R703" s="171">
        <f>70000000+80000000</f>
        <v>150000000</v>
      </c>
    </row>
    <row r="704" spans="1:18" s="177" customFormat="1">
      <c r="A704" s="79"/>
      <c r="B704" s="80"/>
      <c r="C704" s="79" t="s">
        <v>1598</v>
      </c>
      <c r="D704" s="28" t="s">
        <v>1046</v>
      </c>
      <c r="E704" s="29" t="s">
        <v>1047</v>
      </c>
      <c r="F704" s="227">
        <v>196129000</v>
      </c>
      <c r="G704" s="225" t="s">
        <v>48</v>
      </c>
      <c r="H704" s="225" t="s">
        <v>48</v>
      </c>
      <c r="I704" s="228">
        <v>196129000</v>
      </c>
      <c r="J704" s="228">
        <v>196017750</v>
      </c>
      <c r="K704" s="225" t="s">
        <v>112</v>
      </c>
      <c r="L704" s="228">
        <v>196017750</v>
      </c>
      <c r="M704" s="225" t="s">
        <v>113</v>
      </c>
      <c r="N704" s="228">
        <v>196017750</v>
      </c>
      <c r="O704" s="226">
        <v>0.99939999999999996</v>
      </c>
      <c r="P704" s="30">
        <f>78000000+94673425</f>
        <v>172673425</v>
      </c>
      <c r="Q704" s="183">
        <f t="shared" si="209"/>
        <v>-0.13583778163895227</v>
      </c>
      <c r="R704" s="171">
        <f>78000000+94673425</f>
        <v>172673425</v>
      </c>
    </row>
    <row r="705" spans="1:18" s="177" customFormat="1">
      <c r="A705" s="79"/>
      <c r="B705" s="80"/>
      <c r="C705" s="79" t="s">
        <v>1598</v>
      </c>
      <c r="D705" s="28" t="s">
        <v>1001</v>
      </c>
      <c r="E705" s="29" t="s">
        <v>1314</v>
      </c>
      <c r="F705" s="227">
        <v>160000000</v>
      </c>
      <c r="G705" s="225" t="s">
        <v>48</v>
      </c>
      <c r="H705" s="225" t="s">
        <v>48</v>
      </c>
      <c r="I705" s="228">
        <v>160000000</v>
      </c>
      <c r="J705" s="228">
        <v>38160104</v>
      </c>
      <c r="K705" s="228">
        <v>1650000</v>
      </c>
      <c r="L705" s="228">
        <v>38160104</v>
      </c>
      <c r="M705" s="228">
        <v>1650000</v>
      </c>
      <c r="N705" s="228">
        <v>14994569</v>
      </c>
      <c r="O705" s="226">
        <v>0.23849999999999999</v>
      </c>
      <c r="P705" s="30">
        <f>48000000+12000000+58000000+20000000+20000000+15000000</f>
        <v>173000000</v>
      </c>
      <c r="Q705" s="183">
        <f t="shared" si="209"/>
        <v>7.5144508670520235E-2</v>
      </c>
      <c r="R705" s="171">
        <f>48000000+12000000+58000000+20000000+20000000+15000000</f>
        <v>173000000</v>
      </c>
    </row>
    <row r="706" spans="1:18" s="177" customFormat="1">
      <c r="A706" s="79"/>
      <c r="B706" s="80"/>
      <c r="C706" s="79" t="s">
        <v>1598</v>
      </c>
      <c r="D706" s="28" t="s">
        <v>1423</v>
      </c>
      <c r="E706" s="29" t="s">
        <v>1424</v>
      </c>
      <c r="F706" s="227">
        <v>3000000</v>
      </c>
      <c r="G706" s="225" t="s">
        <v>48</v>
      </c>
      <c r="H706" s="225" t="s">
        <v>48</v>
      </c>
      <c r="I706" s="228">
        <v>3000000</v>
      </c>
      <c r="J706" s="225" t="s">
        <v>305</v>
      </c>
      <c r="K706" s="225" t="s">
        <v>112</v>
      </c>
      <c r="L706" s="225" t="s">
        <v>112</v>
      </c>
      <c r="M706" s="225" t="s">
        <v>113</v>
      </c>
      <c r="N706" s="225" t="s">
        <v>114</v>
      </c>
      <c r="O706" s="226">
        <v>0</v>
      </c>
      <c r="P706" s="30"/>
      <c r="Q706" s="183" t="e">
        <f t="shared" si="209"/>
        <v>#DIV/0!</v>
      </c>
      <c r="R706" s="171"/>
    </row>
    <row r="707" spans="1:18" s="177" customFormat="1">
      <c r="A707" s="79"/>
      <c r="B707" s="80"/>
      <c r="C707" s="79" t="s">
        <v>1598</v>
      </c>
      <c r="D707" s="28" t="s">
        <v>1440</v>
      </c>
      <c r="E707" s="29" t="s">
        <v>1600</v>
      </c>
      <c r="F707" s="224" t="s">
        <v>304</v>
      </c>
      <c r="G707" s="225" t="s">
        <v>48</v>
      </c>
      <c r="H707" s="228">
        <v>20230000</v>
      </c>
      <c r="I707" s="228">
        <v>20230000</v>
      </c>
      <c r="J707" s="228">
        <v>20230000</v>
      </c>
      <c r="K707" s="225" t="s">
        <v>112</v>
      </c>
      <c r="L707" s="228">
        <v>20230000</v>
      </c>
      <c r="M707" s="225" t="s">
        <v>113</v>
      </c>
      <c r="N707" s="228">
        <v>20230000</v>
      </c>
      <c r="O707" s="226">
        <v>1</v>
      </c>
      <c r="P707" s="30"/>
      <c r="Q707" s="183" t="e">
        <f t="shared" si="209"/>
        <v>#DIV/0!</v>
      </c>
      <c r="R707" s="171"/>
    </row>
    <row r="708" spans="1:18" s="177" customFormat="1">
      <c r="A708" s="79"/>
      <c r="B708" s="80"/>
      <c r="C708" s="79"/>
      <c r="D708" s="28" t="s">
        <v>1423</v>
      </c>
      <c r="E708" s="29" t="s">
        <v>1424</v>
      </c>
      <c r="F708" s="30"/>
      <c r="G708" s="30"/>
      <c r="H708" s="30"/>
      <c r="I708" s="30"/>
      <c r="J708" s="30"/>
      <c r="K708" s="30"/>
      <c r="L708" s="30"/>
      <c r="M708" s="30"/>
      <c r="N708" s="30"/>
      <c r="O708" s="159"/>
      <c r="P708" s="30">
        <v>3000000</v>
      </c>
      <c r="Q708" s="183">
        <f t="shared" si="209"/>
        <v>1</v>
      </c>
      <c r="R708" s="171">
        <v>3000000</v>
      </c>
    </row>
    <row r="709" spans="1:18" s="177" customFormat="1">
      <c r="A709" s="79"/>
      <c r="B709" s="80"/>
      <c r="C709" s="79"/>
      <c r="D709" s="28" t="s">
        <v>1086</v>
      </c>
      <c r="E709" s="29" t="s">
        <v>1087</v>
      </c>
      <c r="F709" s="30"/>
      <c r="G709" s="30"/>
      <c r="H709" s="30"/>
      <c r="I709" s="30"/>
      <c r="J709" s="30"/>
      <c r="K709" s="30"/>
      <c r="L709" s="30"/>
      <c r="M709" s="30"/>
      <c r="N709" s="30"/>
      <c r="O709" s="159"/>
      <c r="P709" s="30">
        <v>69143617</v>
      </c>
      <c r="Q709" s="183">
        <f t="shared" si="209"/>
        <v>1</v>
      </c>
      <c r="R709" s="171">
        <v>69143617</v>
      </c>
    </row>
    <row r="710" spans="1:18">
      <c r="A710" s="10"/>
      <c r="B710" s="14" t="s">
        <v>1601</v>
      </c>
      <c r="C710" s="10" t="s">
        <v>1602</v>
      </c>
      <c r="D710" s="25"/>
      <c r="E710" s="9" t="s">
        <v>1603</v>
      </c>
      <c r="F710" s="272">
        <v>279741000</v>
      </c>
      <c r="G710" s="255" t="s">
        <v>48</v>
      </c>
      <c r="H710" s="273">
        <v>173750000</v>
      </c>
      <c r="I710" s="273">
        <v>453491000</v>
      </c>
      <c r="J710" s="273">
        <v>351866006</v>
      </c>
      <c r="K710" s="273">
        <v>4348119</v>
      </c>
      <c r="L710" s="273">
        <v>115713358</v>
      </c>
      <c r="M710" s="255" t="s">
        <v>113</v>
      </c>
      <c r="N710" s="273">
        <v>103335939</v>
      </c>
      <c r="O710" s="274">
        <v>0.25519999999999998</v>
      </c>
      <c r="P710" s="8">
        <f>SUM(P711:P724)</f>
        <v>676954070</v>
      </c>
      <c r="Q710" s="183">
        <f t="shared" si="209"/>
        <v>0.33010078512416657</v>
      </c>
      <c r="R710" s="347">
        <f>SUM(R711:R724)</f>
        <v>676954070</v>
      </c>
    </row>
    <row r="711" spans="1:18" s="177" customFormat="1">
      <c r="A711" s="79"/>
      <c r="B711" s="80"/>
      <c r="C711" s="79" t="s">
        <v>1602</v>
      </c>
      <c r="D711" s="28" t="s">
        <v>1222</v>
      </c>
      <c r="E711" s="29" t="s">
        <v>1223</v>
      </c>
      <c r="F711" s="227">
        <v>20853000</v>
      </c>
      <c r="G711" s="225" t="s">
        <v>48</v>
      </c>
      <c r="H711" s="225" t="s">
        <v>48</v>
      </c>
      <c r="I711" s="228">
        <v>20853000</v>
      </c>
      <c r="J711" s="228">
        <v>19589082</v>
      </c>
      <c r="K711" s="225" t="s">
        <v>112</v>
      </c>
      <c r="L711" s="228">
        <v>7300000</v>
      </c>
      <c r="M711" s="225" t="s">
        <v>113</v>
      </c>
      <c r="N711" s="225" t="s">
        <v>114</v>
      </c>
      <c r="O711" s="226">
        <v>0.35010000000000002</v>
      </c>
      <c r="P711" s="30">
        <v>30000000</v>
      </c>
      <c r="Q711" s="183">
        <f t="shared" si="209"/>
        <v>0.3049</v>
      </c>
      <c r="R711" s="171">
        <v>30000000</v>
      </c>
    </row>
    <row r="712" spans="1:18" s="177" customFormat="1">
      <c r="A712" s="79"/>
      <c r="B712" s="80"/>
      <c r="C712" s="79" t="s">
        <v>1602</v>
      </c>
      <c r="D712" s="28" t="s">
        <v>409</v>
      </c>
      <c r="E712" s="29" t="s">
        <v>1220</v>
      </c>
      <c r="F712" s="227">
        <v>13000000</v>
      </c>
      <c r="G712" s="225" t="s">
        <v>48</v>
      </c>
      <c r="H712" s="225" t="s">
        <v>48</v>
      </c>
      <c r="I712" s="228">
        <v>13000000</v>
      </c>
      <c r="J712" s="228">
        <v>8750250</v>
      </c>
      <c r="K712" s="225" t="s">
        <v>112</v>
      </c>
      <c r="L712" s="228">
        <v>8750250</v>
      </c>
      <c r="M712" s="225" t="s">
        <v>113</v>
      </c>
      <c r="N712" s="228">
        <v>8750250</v>
      </c>
      <c r="O712" s="226">
        <v>0.67310000000000003</v>
      </c>
      <c r="P712" s="30">
        <v>13500000</v>
      </c>
      <c r="Q712" s="183">
        <f t="shared" si="209"/>
        <v>3.7037037037037035E-2</v>
      </c>
      <c r="R712" s="171">
        <v>13500000</v>
      </c>
    </row>
    <row r="713" spans="1:18" s="177" customFormat="1">
      <c r="A713" s="79"/>
      <c r="B713" s="80"/>
      <c r="C713" s="79" t="s">
        <v>1602</v>
      </c>
      <c r="D713" s="28" t="s">
        <v>397</v>
      </c>
      <c r="E713" s="29" t="s">
        <v>1217</v>
      </c>
      <c r="F713" s="227">
        <v>35047000</v>
      </c>
      <c r="G713" s="225" t="s">
        <v>48</v>
      </c>
      <c r="H713" s="225" t="s">
        <v>48</v>
      </c>
      <c r="I713" s="228">
        <v>35047000</v>
      </c>
      <c r="J713" s="228">
        <v>16248369</v>
      </c>
      <c r="K713" s="228">
        <v>4348119</v>
      </c>
      <c r="L713" s="228">
        <v>16248369</v>
      </c>
      <c r="M713" s="225" t="s">
        <v>113</v>
      </c>
      <c r="N713" s="228">
        <v>11775750</v>
      </c>
      <c r="O713" s="226">
        <v>0.46360000000000001</v>
      </c>
      <c r="P713" s="30">
        <v>52300000</v>
      </c>
      <c r="Q713" s="183">
        <f t="shared" si="209"/>
        <v>0.3298852772466539</v>
      </c>
      <c r="R713" s="171">
        <v>52300000</v>
      </c>
    </row>
    <row r="714" spans="1:18" s="177" customFormat="1">
      <c r="A714" s="79"/>
      <c r="B714" s="80"/>
      <c r="C714" s="79" t="s">
        <v>1602</v>
      </c>
      <c r="D714" s="28" t="s">
        <v>393</v>
      </c>
      <c r="E714" s="29" t="s">
        <v>1216</v>
      </c>
      <c r="F714" s="227">
        <v>54543000</v>
      </c>
      <c r="G714" s="225" t="s">
        <v>48</v>
      </c>
      <c r="H714" s="225" t="s">
        <v>48</v>
      </c>
      <c r="I714" s="228">
        <v>54543000</v>
      </c>
      <c r="J714" s="228">
        <v>26283970</v>
      </c>
      <c r="K714" s="225" t="s">
        <v>112</v>
      </c>
      <c r="L714" s="228">
        <v>11111500</v>
      </c>
      <c r="M714" s="225" t="s">
        <v>113</v>
      </c>
      <c r="N714" s="228">
        <v>10506700</v>
      </c>
      <c r="O714" s="226">
        <v>0.20369999999999999</v>
      </c>
      <c r="P714" s="30">
        <v>57008344</v>
      </c>
      <c r="Q714" s="183">
        <f t="shared" si="209"/>
        <v>4.3245318615113604E-2</v>
      </c>
      <c r="R714" s="171">
        <v>57008344</v>
      </c>
    </row>
    <row r="715" spans="1:18" s="177" customFormat="1">
      <c r="A715" s="79"/>
      <c r="B715" s="80"/>
      <c r="C715" s="79" t="s">
        <v>1602</v>
      </c>
      <c r="D715" s="28" t="s">
        <v>401</v>
      </c>
      <c r="E715" s="29" t="s">
        <v>1358</v>
      </c>
      <c r="F715" s="227">
        <v>24670000</v>
      </c>
      <c r="G715" s="225" t="s">
        <v>48</v>
      </c>
      <c r="H715" s="225" t="s">
        <v>48</v>
      </c>
      <c r="I715" s="228">
        <v>24670000</v>
      </c>
      <c r="J715" s="228">
        <v>4855750</v>
      </c>
      <c r="K715" s="225" t="s">
        <v>112</v>
      </c>
      <c r="L715" s="228">
        <v>4855750</v>
      </c>
      <c r="M715" s="225" t="s">
        <v>113</v>
      </c>
      <c r="N715" s="228">
        <v>4855750</v>
      </c>
      <c r="O715" s="226">
        <v>0.1968</v>
      </c>
      <c r="P715" s="30">
        <v>25785084</v>
      </c>
      <c r="Q715" s="183">
        <f t="shared" si="209"/>
        <v>4.3245311902028322E-2</v>
      </c>
      <c r="R715" s="171">
        <v>25785084</v>
      </c>
    </row>
    <row r="716" spans="1:18" s="177" customFormat="1">
      <c r="A716" s="79"/>
      <c r="B716" s="80"/>
      <c r="C716" s="79" t="s">
        <v>1602</v>
      </c>
      <c r="D716" s="28" t="s">
        <v>419</v>
      </c>
      <c r="E716" s="29" t="s">
        <v>1221</v>
      </c>
      <c r="F716" s="227">
        <v>5487000</v>
      </c>
      <c r="G716" s="225" t="s">
        <v>48</v>
      </c>
      <c r="H716" s="228">
        <v>210000</v>
      </c>
      <c r="I716" s="228">
        <v>5697000</v>
      </c>
      <c r="J716" s="228">
        <v>5694000</v>
      </c>
      <c r="K716" s="225" t="s">
        <v>112</v>
      </c>
      <c r="L716" s="228">
        <v>5694000</v>
      </c>
      <c r="M716" s="225" t="s">
        <v>113</v>
      </c>
      <c r="N716" s="228">
        <v>5694000</v>
      </c>
      <c r="O716" s="226">
        <v>0.99950000000000006</v>
      </c>
      <c r="P716" s="30">
        <v>20571000</v>
      </c>
      <c r="Q716" s="183">
        <f t="shared" si="209"/>
        <v>0.72305673034854889</v>
      </c>
      <c r="R716" s="171">
        <v>20571000</v>
      </c>
    </row>
    <row r="717" spans="1:18" s="177" customFormat="1">
      <c r="A717" s="79"/>
      <c r="B717" s="80"/>
      <c r="C717" s="79" t="s">
        <v>1602</v>
      </c>
      <c r="D717" s="28" t="s">
        <v>405</v>
      </c>
      <c r="E717" s="29" t="s">
        <v>1219</v>
      </c>
      <c r="F717" s="227">
        <v>21941000</v>
      </c>
      <c r="G717" s="225" t="s">
        <v>48</v>
      </c>
      <c r="H717" s="228">
        <v>-11460000</v>
      </c>
      <c r="I717" s="228">
        <v>10481000</v>
      </c>
      <c r="J717" s="228">
        <v>4904469</v>
      </c>
      <c r="K717" s="225" t="s">
        <v>112</v>
      </c>
      <c r="L717" s="228">
        <v>4904469</v>
      </c>
      <c r="M717" s="225" t="s">
        <v>113</v>
      </c>
      <c r="N717" s="228">
        <v>4904469</v>
      </c>
      <c r="O717" s="226">
        <v>0.46789999999999998</v>
      </c>
      <c r="P717" s="30">
        <v>25000000</v>
      </c>
      <c r="Q717" s="183">
        <f t="shared" si="209"/>
        <v>0.58076000000000005</v>
      </c>
      <c r="R717" s="171">
        <v>25000000</v>
      </c>
    </row>
    <row r="718" spans="1:18" s="177" customFormat="1">
      <c r="A718" s="79"/>
      <c r="B718" s="80"/>
      <c r="C718" s="79" t="s">
        <v>1602</v>
      </c>
      <c r="D718" s="28" t="s">
        <v>1022</v>
      </c>
      <c r="E718" s="29" t="s">
        <v>1023</v>
      </c>
      <c r="F718" s="227">
        <v>15000000</v>
      </c>
      <c r="G718" s="225" t="s">
        <v>48</v>
      </c>
      <c r="H718" s="228">
        <v>-15000000</v>
      </c>
      <c r="I718" s="225" t="s">
        <v>304</v>
      </c>
      <c r="J718" s="225" t="s">
        <v>305</v>
      </c>
      <c r="K718" s="225" t="s">
        <v>112</v>
      </c>
      <c r="L718" s="225" t="s">
        <v>112</v>
      </c>
      <c r="M718" s="225" t="s">
        <v>113</v>
      </c>
      <c r="N718" s="225" t="s">
        <v>114</v>
      </c>
      <c r="O718" s="226">
        <v>0</v>
      </c>
      <c r="P718" s="30"/>
      <c r="Q718" s="183" t="e">
        <f t="shared" si="209"/>
        <v>#VALUE!</v>
      </c>
      <c r="R718" s="171"/>
    </row>
    <row r="719" spans="1:18" s="177" customFormat="1">
      <c r="A719" s="79"/>
      <c r="B719" s="80"/>
      <c r="C719" s="79" t="s">
        <v>1602</v>
      </c>
      <c r="D719" s="28" t="s">
        <v>1224</v>
      </c>
      <c r="E719" s="29" t="s">
        <v>1225</v>
      </c>
      <c r="F719" s="227">
        <v>4956000</v>
      </c>
      <c r="G719" s="225" t="s">
        <v>48</v>
      </c>
      <c r="H719" s="225" t="s">
        <v>48</v>
      </c>
      <c r="I719" s="228">
        <v>4956000</v>
      </c>
      <c r="J719" s="225" t="s">
        <v>305</v>
      </c>
      <c r="K719" s="225" t="s">
        <v>112</v>
      </c>
      <c r="L719" s="225" t="s">
        <v>112</v>
      </c>
      <c r="M719" s="225" t="s">
        <v>113</v>
      </c>
      <c r="N719" s="225" t="s">
        <v>114</v>
      </c>
      <c r="O719" s="226">
        <v>0</v>
      </c>
      <c r="P719" s="30">
        <v>6500000</v>
      </c>
      <c r="Q719" s="183">
        <f t="shared" si="209"/>
        <v>0.23753846153846153</v>
      </c>
      <c r="R719" s="171">
        <v>6500000</v>
      </c>
    </row>
    <row r="720" spans="1:18" s="177" customFormat="1">
      <c r="A720" s="79"/>
      <c r="B720" s="80"/>
      <c r="C720" s="79" t="s">
        <v>1602</v>
      </c>
      <c r="D720" s="28" t="s">
        <v>1226</v>
      </c>
      <c r="E720" s="29" t="s">
        <v>1183</v>
      </c>
      <c r="F720" s="227">
        <v>34601000</v>
      </c>
      <c r="G720" s="225" t="s">
        <v>48</v>
      </c>
      <c r="H720" s="225" t="s">
        <v>48</v>
      </c>
      <c r="I720" s="228">
        <v>34601000</v>
      </c>
      <c r="J720" s="228">
        <v>31430500</v>
      </c>
      <c r="K720" s="225" t="s">
        <v>112</v>
      </c>
      <c r="L720" s="228">
        <v>31430500</v>
      </c>
      <c r="M720" s="225" t="s">
        <v>113</v>
      </c>
      <c r="N720" s="228">
        <v>31430500</v>
      </c>
      <c r="O720" s="226">
        <v>0.90839999999999999</v>
      </c>
      <c r="P720" s="30">
        <v>36168317</v>
      </c>
      <c r="Q720" s="183">
        <f t="shared" si="209"/>
        <v>4.3333976529789868E-2</v>
      </c>
      <c r="R720" s="171">
        <v>36168317</v>
      </c>
    </row>
    <row r="721" spans="1:18" s="177" customFormat="1">
      <c r="A721" s="79"/>
      <c r="B721" s="80"/>
      <c r="C721" s="79" t="s">
        <v>1602</v>
      </c>
      <c r="D721" s="28" t="s">
        <v>1086</v>
      </c>
      <c r="E721" s="29" t="s">
        <v>1087</v>
      </c>
      <c r="F721" s="227">
        <v>34643000</v>
      </c>
      <c r="G721" s="225" t="s">
        <v>48</v>
      </c>
      <c r="H721" s="228">
        <v>200000000</v>
      </c>
      <c r="I721" s="228">
        <v>234643000</v>
      </c>
      <c r="J721" s="228">
        <v>234109616</v>
      </c>
      <c r="K721" s="225" t="s">
        <v>112</v>
      </c>
      <c r="L721" s="228">
        <v>25418520</v>
      </c>
      <c r="M721" s="225" t="s">
        <v>113</v>
      </c>
      <c r="N721" s="228">
        <v>25418520</v>
      </c>
      <c r="O721" s="226">
        <v>0.10829999999999999</v>
      </c>
      <c r="P721" s="30">
        <v>300341325</v>
      </c>
      <c r="Q721" s="183">
        <f t="shared" si="209"/>
        <v>0.21874553892974935</v>
      </c>
      <c r="R721" s="171">
        <v>300341325</v>
      </c>
    </row>
    <row r="722" spans="1:18" s="177" customFormat="1">
      <c r="A722" s="79"/>
      <c r="B722" s="80"/>
      <c r="C722" s="79" t="s">
        <v>1602</v>
      </c>
      <c r="D722" s="28" t="s">
        <v>1046</v>
      </c>
      <c r="E722" s="29" t="s">
        <v>1047</v>
      </c>
      <c r="F722" s="227">
        <v>15000000</v>
      </c>
      <c r="G722" s="225" t="s">
        <v>48</v>
      </c>
      <c r="H722" s="225" t="s">
        <v>48</v>
      </c>
      <c r="I722" s="228">
        <v>15000000</v>
      </c>
      <c r="J722" s="225" t="s">
        <v>305</v>
      </c>
      <c r="K722" s="225" t="s">
        <v>112</v>
      </c>
      <c r="L722" s="225" t="s">
        <v>112</v>
      </c>
      <c r="M722" s="225" t="s">
        <v>113</v>
      </c>
      <c r="N722" s="225" t="s">
        <v>114</v>
      </c>
      <c r="O722" s="226">
        <v>0</v>
      </c>
      <c r="P722" s="30">
        <f>15780000+60000000+8000000</f>
        <v>83780000</v>
      </c>
      <c r="Q722" s="183">
        <f t="shared" si="209"/>
        <v>0.82095965624253997</v>
      </c>
      <c r="R722" s="171">
        <f>15780000+60000000+8000000</f>
        <v>83780000</v>
      </c>
    </row>
    <row r="723" spans="1:18" s="177" customFormat="1">
      <c r="A723" s="79"/>
      <c r="B723" s="80"/>
      <c r="C723" s="79"/>
      <c r="D723" s="28" t="s">
        <v>1429</v>
      </c>
      <c r="E723" s="29" t="s">
        <v>1430</v>
      </c>
      <c r="F723" s="30"/>
      <c r="G723" s="30"/>
      <c r="H723" s="30"/>
      <c r="I723" s="30"/>
      <c r="J723" s="30"/>
      <c r="K723" s="30"/>
      <c r="L723" s="30"/>
      <c r="M723" s="30"/>
      <c r="N723" s="30"/>
      <c r="O723" s="159"/>
      <c r="P723" s="30">
        <v>20000000</v>
      </c>
      <c r="Q723" s="183"/>
      <c r="R723" s="171">
        <v>20000000</v>
      </c>
    </row>
    <row r="724" spans="1:18" s="177" customFormat="1">
      <c r="A724" s="79"/>
      <c r="B724" s="80"/>
      <c r="C724" s="79"/>
      <c r="D724" s="28" t="s">
        <v>1001</v>
      </c>
      <c r="E724" s="29" t="s">
        <v>1314</v>
      </c>
      <c r="F724" s="30"/>
      <c r="G724" s="30"/>
      <c r="H724" s="30"/>
      <c r="I724" s="30"/>
      <c r="J724" s="30"/>
      <c r="K724" s="30"/>
      <c r="L724" s="30"/>
      <c r="M724" s="30"/>
      <c r="N724" s="30"/>
      <c r="O724" s="159"/>
      <c r="P724" s="30">
        <v>6000000</v>
      </c>
      <c r="Q724" s="183"/>
      <c r="R724" s="171">
        <v>6000000</v>
      </c>
    </row>
    <row r="725" spans="1:18" s="177" customFormat="1">
      <c r="A725" s="39" t="s">
        <v>1604</v>
      </c>
      <c r="B725" s="95" t="s">
        <v>989</v>
      </c>
      <c r="C725" s="96" t="s">
        <v>1605</v>
      </c>
      <c r="D725" s="38"/>
      <c r="E725" s="39" t="s">
        <v>1606</v>
      </c>
      <c r="F725" s="275" t="s">
        <v>475</v>
      </c>
      <c r="G725" s="277" t="s">
        <v>35</v>
      </c>
      <c r="H725" s="277" t="s">
        <v>35</v>
      </c>
      <c r="I725" s="277" t="s">
        <v>475</v>
      </c>
      <c r="J725" s="277" t="s">
        <v>476</v>
      </c>
      <c r="K725" s="277" t="s">
        <v>314</v>
      </c>
      <c r="L725" s="277" t="s">
        <v>314</v>
      </c>
      <c r="M725" s="277" t="s">
        <v>315</v>
      </c>
      <c r="N725" s="277" t="s">
        <v>448</v>
      </c>
      <c r="O725" s="279">
        <v>0</v>
      </c>
      <c r="P725" s="97">
        <f t="shared" ref="P725" si="217">+P726</f>
        <v>0</v>
      </c>
      <c r="Q725" s="183" t="e">
        <f t="shared" si="209"/>
        <v>#VALUE!</v>
      </c>
      <c r="R725" s="355">
        <f>+R726</f>
        <v>0</v>
      </c>
    </row>
    <row r="726" spans="1:18">
      <c r="A726" s="10" t="s">
        <v>1607</v>
      </c>
      <c r="B726" s="14" t="s">
        <v>1608</v>
      </c>
      <c r="C726" s="10" t="s">
        <v>1609</v>
      </c>
      <c r="D726" s="25"/>
      <c r="E726" s="9" t="s">
        <v>1606</v>
      </c>
      <c r="F726" s="215" t="s">
        <v>304</v>
      </c>
      <c r="G726" s="217" t="s">
        <v>48</v>
      </c>
      <c r="H726" s="217" t="s">
        <v>48</v>
      </c>
      <c r="I726" s="217" t="s">
        <v>304</v>
      </c>
      <c r="J726" s="217" t="s">
        <v>305</v>
      </c>
      <c r="K726" s="217" t="s">
        <v>112</v>
      </c>
      <c r="L726" s="217" t="s">
        <v>112</v>
      </c>
      <c r="M726" s="217" t="s">
        <v>113</v>
      </c>
      <c r="N726" s="217" t="s">
        <v>114</v>
      </c>
      <c r="O726" s="219">
        <v>0</v>
      </c>
      <c r="P726" s="8"/>
      <c r="Q726" s="183" t="e">
        <f t="shared" si="209"/>
        <v>#VALUE!</v>
      </c>
      <c r="R726" s="347"/>
    </row>
    <row r="727" spans="1:18">
      <c r="A727" s="94" t="s">
        <v>1610</v>
      </c>
      <c r="B727" s="16"/>
      <c r="C727" s="12" t="s">
        <v>1611</v>
      </c>
      <c r="D727" s="24"/>
      <c r="E727" s="11" t="s">
        <v>1612</v>
      </c>
      <c r="F727" s="211">
        <v>3009618000</v>
      </c>
      <c r="G727" s="213">
        <v>339477553</v>
      </c>
      <c r="H727" s="213">
        <v>351477553</v>
      </c>
      <c r="I727" s="213">
        <v>3361095553</v>
      </c>
      <c r="J727" s="213">
        <v>3021275520</v>
      </c>
      <c r="K727" s="213">
        <v>280794393</v>
      </c>
      <c r="L727" s="213">
        <v>2287703389</v>
      </c>
      <c r="M727" s="213">
        <v>286545029</v>
      </c>
      <c r="N727" s="213">
        <v>2064203202</v>
      </c>
      <c r="O727" s="214">
        <v>0.68059999999999998</v>
      </c>
      <c r="P727" s="13">
        <f t="shared" ref="P727" si="218">+P728</f>
        <v>3821389515</v>
      </c>
      <c r="Q727" s="183">
        <f t="shared" si="209"/>
        <v>0.12045198747555573</v>
      </c>
      <c r="R727" s="349">
        <f>+R728</f>
        <v>3821389515</v>
      </c>
    </row>
    <row r="728" spans="1:18" s="175" customFormat="1">
      <c r="A728" s="72" t="s">
        <v>1613</v>
      </c>
      <c r="B728" s="73" t="s">
        <v>1614</v>
      </c>
      <c r="C728" s="74" t="s">
        <v>1615</v>
      </c>
      <c r="D728" s="75"/>
      <c r="E728" s="20" t="s">
        <v>1616</v>
      </c>
      <c r="F728" s="206">
        <v>3009618000</v>
      </c>
      <c r="G728" s="208">
        <v>339477553</v>
      </c>
      <c r="H728" s="208">
        <v>351477553</v>
      </c>
      <c r="I728" s="208">
        <v>3361095553</v>
      </c>
      <c r="J728" s="208">
        <v>3021275520</v>
      </c>
      <c r="K728" s="208">
        <v>280794393</v>
      </c>
      <c r="L728" s="208">
        <v>2287703389</v>
      </c>
      <c r="M728" s="208">
        <v>286545029</v>
      </c>
      <c r="N728" s="208">
        <v>2064203202</v>
      </c>
      <c r="O728" s="209">
        <v>0.68059999999999998</v>
      </c>
      <c r="P728" s="76">
        <f t="shared" ref="P728" si="219">+P729+P731+P733</f>
        <v>3821389515</v>
      </c>
      <c r="Q728" s="183">
        <f t="shared" si="209"/>
        <v>0.12045198747555573</v>
      </c>
      <c r="R728" s="345">
        <f>+R729+R731+R733</f>
        <v>3821389515</v>
      </c>
    </row>
    <row r="729" spans="1:18" s="176" customFormat="1">
      <c r="A729" s="10" t="s">
        <v>1617</v>
      </c>
      <c r="B729" s="14" t="s">
        <v>1618</v>
      </c>
      <c r="C729" s="10" t="s">
        <v>1619</v>
      </c>
      <c r="D729" s="25"/>
      <c r="E729" s="9" t="s">
        <v>1620</v>
      </c>
      <c r="F729" s="216">
        <v>2774882000</v>
      </c>
      <c r="G729" s="218">
        <v>226009182</v>
      </c>
      <c r="H729" s="218">
        <v>226009182</v>
      </c>
      <c r="I729" s="218">
        <v>3000891182</v>
      </c>
      <c r="J729" s="218">
        <v>2774852000</v>
      </c>
      <c r="K729" s="218">
        <v>257919539</v>
      </c>
      <c r="L729" s="218">
        <v>2070534111</v>
      </c>
      <c r="M729" s="218">
        <v>249813760</v>
      </c>
      <c r="N729" s="218">
        <v>1847220951</v>
      </c>
      <c r="O729" s="219">
        <v>0.69</v>
      </c>
      <c r="P729" s="8">
        <f t="shared" ref="P729" si="220">+P730</f>
        <v>3457425420</v>
      </c>
      <c r="Q729" s="183">
        <f t="shared" si="209"/>
        <v>0.13204456569304682</v>
      </c>
      <c r="R729" s="347">
        <f>+R730</f>
        <v>3457425420</v>
      </c>
    </row>
    <row r="730" spans="1:18" s="177" customFormat="1">
      <c r="A730" s="79"/>
      <c r="B730" s="80"/>
      <c r="C730" s="79" t="s">
        <v>1619</v>
      </c>
      <c r="D730" s="28" t="s">
        <v>1101</v>
      </c>
      <c r="E730" s="29" t="s">
        <v>1102</v>
      </c>
      <c r="F730" s="227">
        <v>2774882000</v>
      </c>
      <c r="G730" s="228">
        <v>226009182</v>
      </c>
      <c r="H730" s="228">
        <v>226009182</v>
      </c>
      <c r="I730" s="228">
        <v>3000891182</v>
      </c>
      <c r="J730" s="228">
        <v>2774852000</v>
      </c>
      <c r="K730" s="228">
        <v>257919539</v>
      </c>
      <c r="L730" s="228">
        <v>2070534111</v>
      </c>
      <c r="M730" s="228">
        <v>249813760</v>
      </c>
      <c r="N730" s="228">
        <v>1847220951</v>
      </c>
      <c r="O730" s="226">
        <v>0.69</v>
      </c>
      <c r="P730" s="30">
        <v>3457425420</v>
      </c>
      <c r="Q730" s="183">
        <f t="shared" si="209"/>
        <v>0.13204456569304682</v>
      </c>
      <c r="R730" s="171">
        <v>3457425420</v>
      </c>
    </row>
    <row r="731" spans="1:18" s="176" customFormat="1">
      <c r="A731" s="10" t="s">
        <v>1621</v>
      </c>
      <c r="B731" s="14" t="s">
        <v>1622</v>
      </c>
      <c r="C731" s="10" t="s">
        <v>1623</v>
      </c>
      <c r="D731" s="25"/>
      <c r="E731" s="9" t="s">
        <v>1624</v>
      </c>
      <c r="F731" s="216">
        <v>2691000</v>
      </c>
      <c r="G731" s="217" t="s">
        <v>48</v>
      </c>
      <c r="H731" s="218">
        <v>12000000</v>
      </c>
      <c r="I731" s="218">
        <v>14691000</v>
      </c>
      <c r="J731" s="218">
        <v>14378520</v>
      </c>
      <c r="K731" s="218">
        <v>701082</v>
      </c>
      <c r="L731" s="218">
        <v>13211152</v>
      </c>
      <c r="M731" s="218">
        <v>701082</v>
      </c>
      <c r="N731" s="218">
        <v>13211152</v>
      </c>
      <c r="O731" s="219">
        <v>0.89929999999999999</v>
      </c>
      <c r="P731" s="8">
        <f t="shared" ref="P731" si="221">+P732</f>
        <v>2812095</v>
      </c>
      <c r="Q731" s="183">
        <f t="shared" si="209"/>
        <v>-4.2242189541960711</v>
      </c>
      <c r="R731" s="347">
        <f>+R732</f>
        <v>2812095</v>
      </c>
    </row>
    <row r="732" spans="1:18" s="177" customFormat="1">
      <c r="A732" s="79"/>
      <c r="B732" s="80"/>
      <c r="C732" s="79" t="s">
        <v>1623</v>
      </c>
      <c r="D732" s="28" t="s">
        <v>1101</v>
      </c>
      <c r="E732" s="29" t="s">
        <v>1102</v>
      </c>
      <c r="F732" s="227">
        <v>2691000</v>
      </c>
      <c r="G732" s="225" t="s">
        <v>48</v>
      </c>
      <c r="H732" s="228">
        <v>12000000</v>
      </c>
      <c r="I732" s="228">
        <v>14691000</v>
      </c>
      <c r="J732" s="228">
        <v>14378520</v>
      </c>
      <c r="K732" s="228">
        <v>701082</v>
      </c>
      <c r="L732" s="228">
        <v>13211152</v>
      </c>
      <c r="M732" s="228">
        <v>701082</v>
      </c>
      <c r="N732" s="228">
        <v>13211152</v>
      </c>
      <c r="O732" s="226">
        <v>0.89929999999999999</v>
      </c>
      <c r="P732" s="30">
        <v>2812095</v>
      </c>
      <c r="Q732" s="183">
        <f t="shared" si="209"/>
        <v>-4.2242189541960711</v>
      </c>
      <c r="R732" s="171">
        <v>2812095</v>
      </c>
    </row>
    <row r="733" spans="1:18" s="176" customFormat="1">
      <c r="A733" s="10" t="s">
        <v>1625</v>
      </c>
      <c r="B733" s="14" t="s">
        <v>1626</v>
      </c>
      <c r="C733" s="10" t="s">
        <v>1627</v>
      </c>
      <c r="D733" s="25"/>
      <c r="E733" s="9" t="s">
        <v>1628</v>
      </c>
      <c r="F733" s="216">
        <v>232045000</v>
      </c>
      <c r="G733" s="218">
        <v>113468371</v>
      </c>
      <c r="H733" s="218">
        <v>113468371</v>
      </c>
      <c r="I733" s="218">
        <v>345513371</v>
      </c>
      <c r="J733" s="218">
        <v>232045000</v>
      </c>
      <c r="K733" s="218">
        <v>22173772</v>
      </c>
      <c r="L733" s="218">
        <v>203958126</v>
      </c>
      <c r="M733" s="218">
        <v>36030187</v>
      </c>
      <c r="N733" s="218">
        <v>203771099</v>
      </c>
      <c r="O733" s="219">
        <v>0.59030000000000005</v>
      </c>
      <c r="P733" s="8">
        <f t="shared" ref="P733" si="222">+P734</f>
        <v>361152000</v>
      </c>
      <c r="Q733" s="183">
        <f t="shared" si="209"/>
        <v>4.3302069488747118E-2</v>
      </c>
      <c r="R733" s="347">
        <f>+R734</f>
        <v>361152000</v>
      </c>
    </row>
    <row r="734" spans="1:18" s="177" customFormat="1">
      <c r="A734" s="79"/>
      <c r="B734" s="80"/>
      <c r="C734" s="79" t="s">
        <v>1627</v>
      </c>
      <c r="D734" s="28" t="s">
        <v>1101</v>
      </c>
      <c r="E734" s="29" t="s">
        <v>1102</v>
      </c>
      <c r="F734" s="227">
        <v>232045000</v>
      </c>
      <c r="G734" s="228">
        <v>113468371</v>
      </c>
      <c r="H734" s="228">
        <v>113468371</v>
      </c>
      <c r="I734" s="228">
        <v>345513371</v>
      </c>
      <c r="J734" s="228">
        <v>232045000</v>
      </c>
      <c r="K734" s="228">
        <v>22173772</v>
      </c>
      <c r="L734" s="228">
        <v>203958126</v>
      </c>
      <c r="M734" s="228">
        <v>36030187</v>
      </c>
      <c r="N734" s="228">
        <v>203771099</v>
      </c>
      <c r="O734" s="226">
        <v>0.59030000000000005</v>
      </c>
      <c r="P734" s="30">
        <v>361152000</v>
      </c>
      <c r="Q734" s="183">
        <f t="shared" si="209"/>
        <v>4.3302069488747118E-2</v>
      </c>
      <c r="R734" s="171">
        <v>361152000</v>
      </c>
    </row>
    <row r="735" spans="1:18">
      <c r="A735" s="94" t="s">
        <v>1629</v>
      </c>
      <c r="B735" s="16" t="s">
        <v>1630</v>
      </c>
      <c r="C735" s="12" t="s">
        <v>1631</v>
      </c>
      <c r="D735" s="24"/>
      <c r="E735" s="11" t="s">
        <v>1632</v>
      </c>
      <c r="F735" s="211">
        <v>1531659000</v>
      </c>
      <c r="G735" s="212" t="s">
        <v>35</v>
      </c>
      <c r="H735" s="213">
        <v>234071578</v>
      </c>
      <c r="I735" s="213">
        <v>1765730578</v>
      </c>
      <c r="J735" s="213">
        <v>1017658130</v>
      </c>
      <c r="K735" s="212" t="s">
        <v>314</v>
      </c>
      <c r="L735" s="213">
        <v>794751279</v>
      </c>
      <c r="M735" s="213">
        <v>94699258</v>
      </c>
      <c r="N735" s="213">
        <v>152122708</v>
      </c>
      <c r="O735" s="214">
        <v>0.4501</v>
      </c>
      <c r="P735" s="13">
        <f t="shared" ref="P735" si="223">+P736+P742+P747+P750</f>
        <v>6197330510</v>
      </c>
      <c r="Q735" s="183">
        <f t="shared" si="209"/>
        <v>0.71508207039291827</v>
      </c>
      <c r="R735" s="349">
        <f>+R736+R742+R747+R750</f>
        <v>6197330510</v>
      </c>
    </row>
    <row r="736" spans="1:18" s="175" customFormat="1">
      <c r="A736" s="72" t="s">
        <v>1633</v>
      </c>
      <c r="B736" s="73" t="s">
        <v>989</v>
      </c>
      <c r="C736" s="74" t="s">
        <v>1634</v>
      </c>
      <c r="D736" s="75"/>
      <c r="E736" s="20" t="s">
        <v>1635</v>
      </c>
      <c r="F736" s="206">
        <v>237223000</v>
      </c>
      <c r="G736" s="207" t="s">
        <v>35</v>
      </c>
      <c r="H736" s="208">
        <v>113117358</v>
      </c>
      <c r="I736" s="208">
        <v>350340358</v>
      </c>
      <c r="J736" s="208">
        <v>84223948</v>
      </c>
      <c r="K736" s="207" t="s">
        <v>314</v>
      </c>
      <c r="L736" s="207" t="s">
        <v>314</v>
      </c>
      <c r="M736" s="207" t="s">
        <v>315</v>
      </c>
      <c r="N736" s="207" t="s">
        <v>448</v>
      </c>
      <c r="O736" s="209">
        <v>0</v>
      </c>
      <c r="P736" s="76">
        <f t="shared" ref="P736" si="224">+P737+P739</f>
        <v>2432611000</v>
      </c>
      <c r="Q736" s="183">
        <f t="shared" si="209"/>
        <v>0.85598175869467008</v>
      </c>
      <c r="R736" s="345">
        <f>+R737+R739</f>
        <v>2432611000</v>
      </c>
    </row>
    <row r="737" spans="1:18" s="177" customFormat="1">
      <c r="A737" s="10" t="s">
        <v>1636</v>
      </c>
      <c r="B737" s="14" t="s">
        <v>1637</v>
      </c>
      <c r="C737" s="10" t="s">
        <v>1638</v>
      </c>
      <c r="D737" s="25"/>
      <c r="E737" s="9" t="s">
        <v>1639</v>
      </c>
      <c r="F737" s="215" t="s">
        <v>304</v>
      </c>
      <c r="G737" s="217" t="s">
        <v>48</v>
      </c>
      <c r="H737" s="218">
        <v>116771358</v>
      </c>
      <c r="I737" s="218">
        <v>116771358</v>
      </c>
      <c r="J737" s="218">
        <v>84223948</v>
      </c>
      <c r="K737" s="217" t="s">
        <v>112</v>
      </c>
      <c r="L737" s="217" t="s">
        <v>112</v>
      </c>
      <c r="M737" s="217" t="s">
        <v>113</v>
      </c>
      <c r="N737" s="217" t="s">
        <v>114</v>
      </c>
      <c r="O737" s="219">
        <v>0</v>
      </c>
      <c r="P737" s="8">
        <f t="shared" ref="P737" si="225">+P738</f>
        <v>78291000</v>
      </c>
      <c r="Q737" s="183">
        <f t="shared" si="209"/>
        <v>-0.49150423420316514</v>
      </c>
      <c r="R737" s="347">
        <f>+R738</f>
        <v>78291000</v>
      </c>
    </row>
    <row r="738" spans="1:18" s="177" customFormat="1">
      <c r="A738" s="79"/>
      <c r="B738" s="80"/>
      <c r="C738" s="79" t="s">
        <v>1638</v>
      </c>
      <c r="D738" s="28" t="s">
        <v>1101</v>
      </c>
      <c r="E738" s="29" t="s">
        <v>1102</v>
      </c>
      <c r="F738" s="224" t="s">
        <v>304</v>
      </c>
      <c r="G738" s="225" t="s">
        <v>48</v>
      </c>
      <c r="H738" s="228">
        <v>116771358</v>
      </c>
      <c r="I738" s="228">
        <v>116771358</v>
      </c>
      <c r="J738" s="228">
        <v>84223948</v>
      </c>
      <c r="K738" s="225" t="s">
        <v>112</v>
      </c>
      <c r="L738" s="225" t="s">
        <v>112</v>
      </c>
      <c r="M738" s="225" t="s">
        <v>113</v>
      </c>
      <c r="N738" s="225" t="s">
        <v>114</v>
      </c>
      <c r="O738" s="226">
        <v>0</v>
      </c>
      <c r="P738" s="30">
        <v>78291000</v>
      </c>
      <c r="Q738" s="183">
        <f t="shared" si="209"/>
        <v>-0.49150423420316514</v>
      </c>
      <c r="R738" s="171">
        <v>78291000</v>
      </c>
    </row>
    <row r="739" spans="1:18" s="175" customFormat="1">
      <c r="A739" s="10" t="s">
        <v>1640</v>
      </c>
      <c r="B739" s="14" t="s">
        <v>1641</v>
      </c>
      <c r="C739" s="10" t="s">
        <v>1642</v>
      </c>
      <c r="D739" s="25"/>
      <c r="E739" s="9" t="s">
        <v>1643</v>
      </c>
      <c r="F739" s="216">
        <v>237223000</v>
      </c>
      <c r="G739" s="217" t="s">
        <v>48</v>
      </c>
      <c r="H739" s="218">
        <v>-3654000</v>
      </c>
      <c r="I739" s="218">
        <v>233569000</v>
      </c>
      <c r="J739" s="217" t="s">
        <v>305</v>
      </c>
      <c r="K739" s="217" t="s">
        <v>112</v>
      </c>
      <c r="L739" s="217" t="s">
        <v>112</v>
      </c>
      <c r="M739" s="217" t="s">
        <v>113</v>
      </c>
      <c r="N739" s="217" t="s">
        <v>114</v>
      </c>
      <c r="O739" s="219">
        <v>0</v>
      </c>
      <c r="P739" s="8">
        <f t="shared" ref="P739" si="226">SUM(P740:P741)</f>
        <v>2354320000</v>
      </c>
      <c r="Q739" s="183">
        <f t="shared" ref="Q739:Q808" si="227">+(P739-I739)/P739</f>
        <v>0.90079131129158319</v>
      </c>
      <c r="R739" s="347">
        <f>SUM(R740:R741)</f>
        <v>2354320000</v>
      </c>
    </row>
    <row r="740" spans="1:18" s="177" customFormat="1">
      <c r="A740" s="79"/>
      <c r="B740" s="80"/>
      <c r="C740" s="79" t="s">
        <v>1642</v>
      </c>
      <c r="D740" s="28" t="s">
        <v>1101</v>
      </c>
      <c r="E740" s="29" t="s">
        <v>1102</v>
      </c>
      <c r="F740" s="227">
        <v>3654000</v>
      </c>
      <c r="G740" s="225" t="s">
        <v>48</v>
      </c>
      <c r="H740" s="228">
        <v>-3654000</v>
      </c>
      <c r="I740" s="225" t="s">
        <v>304</v>
      </c>
      <c r="J740" s="225" t="s">
        <v>305</v>
      </c>
      <c r="K740" s="225" t="s">
        <v>112</v>
      </c>
      <c r="L740" s="225" t="s">
        <v>112</v>
      </c>
      <c r="M740" s="225" t="s">
        <v>113</v>
      </c>
      <c r="N740" s="225" t="s">
        <v>114</v>
      </c>
      <c r="O740" s="226">
        <v>0</v>
      </c>
      <c r="P740" s="30">
        <v>194320000</v>
      </c>
      <c r="Q740" s="183" t="e">
        <f t="shared" si="227"/>
        <v>#VALUE!</v>
      </c>
      <c r="R740" s="171">
        <v>194320000</v>
      </c>
    </row>
    <row r="741" spans="1:18" s="177" customFormat="1">
      <c r="A741" s="79"/>
      <c r="B741" s="80"/>
      <c r="C741" s="79" t="s">
        <v>1642</v>
      </c>
      <c r="D741" s="28" t="s">
        <v>1044</v>
      </c>
      <c r="E741" s="29" t="s">
        <v>1045</v>
      </c>
      <c r="F741" s="227">
        <v>233569000</v>
      </c>
      <c r="G741" s="225" t="s">
        <v>48</v>
      </c>
      <c r="H741" s="225" t="s">
        <v>48</v>
      </c>
      <c r="I741" s="228">
        <v>233569000</v>
      </c>
      <c r="J741" s="225" t="s">
        <v>305</v>
      </c>
      <c r="K741" s="225" t="s">
        <v>112</v>
      </c>
      <c r="L741" s="225" t="s">
        <v>112</v>
      </c>
      <c r="M741" s="225" t="s">
        <v>113</v>
      </c>
      <c r="N741" s="225" t="s">
        <v>114</v>
      </c>
      <c r="O741" s="226">
        <v>0</v>
      </c>
      <c r="P741" s="30">
        <f>800000000+610000000+750000000</f>
        <v>2160000000</v>
      </c>
      <c r="Q741" s="183">
        <f t="shared" si="227"/>
        <v>0.89186620370370373</v>
      </c>
      <c r="R741" s="171">
        <f>800000000+610000000+750000000</f>
        <v>2160000000</v>
      </c>
    </row>
    <row r="742" spans="1:18" s="175" customFormat="1">
      <c r="A742" s="72" t="s">
        <v>1644</v>
      </c>
      <c r="B742" s="73" t="s">
        <v>989</v>
      </c>
      <c r="C742" s="74" t="s">
        <v>1645</v>
      </c>
      <c r="D742" s="75"/>
      <c r="E742" s="20" t="s">
        <v>1646</v>
      </c>
      <c r="F742" s="206">
        <v>631263000</v>
      </c>
      <c r="G742" s="207" t="s">
        <v>35</v>
      </c>
      <c r="H742" s="208">
        <v>8137220</v>
      </c>
      <c r="I742" s="208">
        <v>639400220</v>
      </c>
      <c r="J742" s="208">
        <v>416832649</v>
      </c>
      <c r="K742" s="207" t="s">
        <v>314</v>
      </c>
      <c r="L742" s="208">
        <v>416832649</v>
      </c>
      <c r="M742" s="208">
        <v>33500880</v>
      </c>
      <c r="N742" s="208">
        <v>41638100</v>
      </c>
      <c r="O742" s="209">
        <v>0.65190000000000003</v>
      </c>
      <c r="P742" s="76">
        <f t="shared" ref="P742" si="228">+P743</f>
        <v>2793899873</v>
      </c>
      <c r="Q742" s="183">
        <f t="shared" si="227"/>
        <v>0.77114418946108021</v>
      </c>
      <c r="R742" s="345">
        <f>+R743</f>
        <v>2793899873</v>
      </c>
    </row>
    <row r="743" spans="1:18" s="175" customFormat="1">
      <c r="A743" s="10" t="s">
        <v>1647</v>
      </c>
      <c r="B743" s="14" t="s">
        <v>1648</v>
      </c>
      <c r="C743" s="10" t="s">
        <v>1649</v>
      </c>
      <c r="D743" s="25"/>
      <c r="E743" s="9" t="s">
        <v>1646</v>
      </c>
      <c r="F743" s="216">
        <v>631263000</v>
      </c>
      <c r="G743" s="217" t="s">
        <v>48</v>
      </c>
      <c r="H743" s="218">
        <v>8137220</v>
      </c>
      <c r="I743" s="218">
        <v>639400220</v>
      </c>
      <c r="J743" s="218">
        <v>416832649</v>
      </c>
      <c r="K743" s="217" t="s">
        <v>112</v>
      </c>
      <c r="L743" s="218">
        <v>416832649</v>
      </c>
      <c r="M743" s="218">
        <v>33500880</v>
      </c>
      <c r="N743" s="218">
        <v>41638100</v>
      </c>
      <c r="O743" s="219">
        <v>0.65190000000000003</v>
      </c>
      <c r="P743" s="8">
        <f t="shared" ref="P743" si="229">SUM(P744:P746)</f>
        <v>2793899873</v>
      </c>
      <c r="Q743" s="183">
        <f t="shared" si="227"/>
        <v>0.77114418946108021</v>
      </c>
      <c r="R743" s="347">
        <f>SUM(R744:R746)</f>
        <v>2793899873</v>
      </c>
    </row>
    <row r="744" spans="1:18" s="177" customFormat="1">
      <c r="A744" s="79"/>
      <c r="B744" s="80"/>
      <c r="C744" s="79" t="s">
        <v>1649</v>
      </c>
      <c r="D744" s="28" t="s">
        <v>1101</v>
      </c>
      <c r="E744" s="29" t="s">
        <v>1102</v>
      </c>
      <c r="F744" s="227">
        <v>91343000</v>
      </c>
      <c r="G744" s="225" t="s">
        <v>48</v>
      </c>
      <c r="H744" s="225" t="s">
        <v>48</v>
      </c>
      <c r="I744" s="228">
        <v>91343000</v>
      </c>
      <c r="J744" s="225" t="s">
        <v>305</v>
      </c>
      <c r="K744" s="225" t="s">
        <v>112</v>
      </c>
      <c r="L744" s="225" t="s">
        <v>112</v>
      </c>
      <c r="M744" s="225" t="s">
        <v>113</v>
      </c>
      <c r="N744" s="225" t="s">
        <v>114</v>
      </c>
      <c r="O744" s="226">
        <v>0</v>
      </c>
      <c r="P744" s="30">
        <v>95454000</v>
      </c>
      <c r="Q744" s="183">
        <f t="shared" si="227"/>
        <v>4.306786514970562E-2</v>
      </c>
      <c r="R744" s="171">
        <v>95454000</v>
      </c>
    </row>
    <row r="745" spans="1:18" s="177" customFormat="1">
      <c r="A745" s="79"/>
      <c r="B745" s="80"/>
      <c r="C745" s="79" t="s">
        <v>1649</v>
      </c>
      <c r="D745" s="28" t="s">
        <v>1044</v>
      </c>
      <c r="E745" s="29" t="s">
        <v>1045</v>
      </c>
      <c r="F745" s="227">
        <v>444763000</v>
      </c>
      <c r="G745" s="225" t="s">
        <v>48</v>
      </c>
      <c r="H745" s="228">
        <v>8137220</v>
      </c>
      <c r="I745" s="228">
        <v>452900220</v>
      </c>
      <c r="J745" s="228">
        <v>338547781</v>
      </c>
      <c r="K745" s="225" t="s">
        <v>112</v>
      </c>
      <c r="L745" s="228">
        <v>338547781</v>
      </c>
      <c r="M745" s="225" t="s">
        <v>113</v>
      </c>
      <c r="N745" s="228">
        <v>8137220</v>
      </c>
      <c r="O745" s="226">
        <v>0.74750000000000005</v>
      </c>
      <c r="P745" s="30">
        <f>100000000+720000000+650000000+100000000+680000000+280000000</f>
        <v>2530000000</v>
      </c>
      <c r="Q745" s="183">
        <f t="shared" si="227"/>
        <v>0.82098805533596841</v>
      </c>
      <c r="R745" s="171">
        <f>100000000+720000000+650000000+100000000+680000000+280000000</f>
        <v>2530000000</v>
      </c>
    </row>
    <row r="746" spans="1:18" s="177" customFormat="1">
      <c r="A746" s="79"/>
      <c r="B746" s="80"/>
      <c r="C746" s="79" t="s">
        <v>1649</v>
      </c>
      <c r="D746" s="28" t="s">
        <v>1086</v>
      </c>
      <c r="E746" s="29" t="s">
        <v>1087</v>
      </c>
      <c r="F746" s="227">
        <v>95157000</v>
      </c>
      <c r="G746" s="225" t="s">
        <v>48</v>
      </c>
      <c r="H746" s="225" t="s">
        <v>48</v>
      </c>
      <c r="I746" s="228">
        <v>95157000</v>
      </c>
      <c r="J746" s="228">
        <v>78284868</v>
      </c>
      <c r="K746" s="225" t="s">
        <v>112</v>
      </c>
      <c r="L746" s="228">
        <v>78284868</v>
      </c>
      <c r="M746" s="228">
        <v>33500880</v>
      </c>
      <c r="N746" s="228">
        <v>33500880</v>
      </c>
      <c r="O746" s="226">
        <v>0.82269999999999999</v>
      </c>
      <c r="P746" s="30">
        <v>168445873</v>
      </c>
      <c r="Q746" s="183">
        <f t="shared" si="227"/>
        <v>0.43508856402792367</v>
      </c>
      <c r="R746" s="171">
        <v>168445873</v>
      </c>
    </row>
    <row r="747" spans="1:18" s="175" customFormat="1">
      <c r="A747" s="72" t="s">
        <v>1650</v>
      </c>
      <c r="B747" s="73" t="s">
        <v>989</v>
      </c>
      <c r="C747" s="74" t="s">
        <v>1651</v>
      </c>
      <c r="D747" s="75"/>
      <c r="E747" s="20" t="s">
        <v>1652</v>
      </c>
      <c r="F747" s="206">
        <v>78294000</v>
      </c>
      <c r="G747" s="207" t="s">
        <v>35</v>
      </c>
      <c r="H747" s="208">
        <v>38750000</v>
      </c>
      <c r="I747" s="208">
        <v>117044000</v>
      </c>
      <c r="J747" s="208">
        <v>77500000</v>
      </c>
      <c r="K747" s="207" t="s">
        <v>314</v>
      </c>
      <c r="L747" s="208">
        <v>77500000</v>
      </c>
      <c r="M747" s="208">
        <v>23996498</v>
      </c>
      <c r="N747" s="208">
        <v>23996498</v>
      </c>
      <c r="O747" s="209">
        <v>0.66210000000000002</v>
      </c>
      <c r="P747" s="76">
        <f t="shared" ref="P747:P748" si="230">+P748</f>
        <v>116250000</v>
      </c>
      <c r="Q747" s="183">
        <f t="shared" si="227"/>
        <v>-6.8301075268817207E-3</v>
      </c>
      <c r="R747" s="345">
        <f>+R748</f>
        <v>116250000</v>
      </c>
    </row>
    <row r="748" spans="1:18" s="176" customFormat="1">
      <c r="A748" s="10" t="s">
        <v>1653</v>
      </c>
      <c r="B748" s="14" t="s">
        <v>1654</v>
      </c>
      <c r="C748" s="10" t="s">
        <v>1655</v>
      </c>
      <c r="D748" s="25"/>
      <c r="E748" s="9" t="s">
        <v>1656</v>
      </c>
      <c r="F748" s="216">
        <v>78294000</v>
      </c>
      <c r="G748" s="217" t="s">
        <v>48</v>
      </c>
      <c r="H748" s="218">
        <v>38750000</v>
      </c>
      <c r="I748" s="218">
        <v>117044000</v>
      </c>
      <c r="J748" s="218">
        <v>77500000</v>
      </c>
      <c r="K748" s="217" t="s">
        <v>112</v>
      </c>
      <c r="L748" s="218">
        <v>77500000</v>
      </c>
      <c r="M748" s="218">
        <v>23996498</v>
      </c>
      <c r="N748" s="218">
        <v>23996498</v>
      </c>
      <c r="O748" s="219">
        <v>0.66210000000000002</v>
      </c>
      <c r="P748" s="8">
        <f t="shared" si="230"/>
        <v>116250000</v>
      </c>
      <c r="Q748" s="183">
        <f t="shared" si="227"/>
        <v>-6.8301075268817207E-3</v>
      </c>
      <c r="R748" s="347">
        <f>+R749</f>
        <v>116250000</v>
      </c>
    </row>
    <row r="749" spans="1:18" s="177" customFormat="1">
      <c r="A749" s="79"/>
      <c r="B749" s="80"/>
      <c r="C749" s="79" t="s">
        <v>1655</v>
      </c>
      <c r="D749" s="28" t="s">
        <v>1101</v>
      </c>
      <c r="E749" s="29" t="s">
        <v>1102</v>
      </c>
      <c r="F749" s="227">
        <v>78294000</v>
      </c>
      <c r="G749" s="225" t="s">
        <v>48</v>
      </c>
      <c r="H749" s="228">
        <v>38750000</v>
      </c>
      <c r="I749" s="228">
        <v>117044000</v>
      </c>
      <c r="J749" s="228">
        <v>77500000</v>
      </c>
      <c r="K749" s="225" t="s">
        <v>112</v>
      </c>
      <c r="L749" s="228">
        <v>77500000</v>
      </c>
      <c r="M749" s="228">
        <v>23996498</v>
      </c>
      <c r="N749" s="228">
        <v>23996498</v>
      </c>
      <c r="O749" s="226">
        <v>0.66210000000000002</v>
      </c>
      <c r="P749" s="30">
        <v>116250000</v>
      </c>
      <c r="Q749" s="183">
        <f t="shared" si="227"/>
        <v>-6.8301075268817207E-3</v>
      </c>
      <c r="R749" s="171">
        <v>116250000</v>
      </c>
    </row>
    <row r="750" spans="1:18" s="175" customFormat="1">
      <c r="A750" s="72" t="s">
        <v>1657</v>
      </c>
      <c r="B750" s="73" t="s">
        <v>989</v>
      </c>
      <c r="C750" s="74" t="s">
        <v>1658</v>
      </c>
      <c r="D750" s="75"/>
      <c r="E750" s="20" t="s">
        <v>1659</v>
      </c>
      <c r="F750" s="206">
        <v>584879000</v>
      </c>
      <c r="G750" s="207" t="s">
        <v>35</v>
      </c>
      <c r="H750" s="208">
        <v>74067000</v>
      </c>
      <c r="I750" s="208">
        <v>658946000</v>
      </c>
      <c r="J750" s="208">
        <v>439101533</v>
      </c>
      <c r="K750" s="207" t="s">
        <v>314</v>
      </c>
      <c r="L750" s="208">
        <v>300418630</v>
      </c>
      <c r="M750" s="208">
        <v>37201880</v>
      </c>
      <c r="N750" s="208">
        <v>86488110</v>
      </c>
      <c r="O750" s="209">
        <v>0.45590000000000003</v>
      </c>
      <c r="P750" s="76">
        <f t="shared" ref="P750" si="231">+P751+P753+P755+P756+P757+P759+P761+P763+P764+P766+P768</f>
        <v>854569637</v>
      </c>
      <c r="Q750" s="183">
        <f t="shared" si="227"/>
        <v>0.2289147993681877</v>
      </c>
      <c r="R750" s="345">
        <f>+R751+R753+R755+R756+R757+R759+R761+R763+R764+R766+R768</f>
        <v>854569637</v>
      </c>
    </row>
    <row r="751" spans="1:18" s="176" customFormat="1">
      <c r="A751" s="10" t="s">
        <v>1660</v>
      </c>
      <c r="B751" s="14" t="s">
        <v>989</v>
      </c>
      <c r="C751" s="10" t="s">
        <v>1661</v>
      </c>
      <c r="D751" s="25"/>
      <c r="E751" s="9" t="s">
        <v>1662</v>
      </c>
      <c r="F751" s="215" t="s">
        <v>304</v>
      </c>
      <c r="G751" s="217" t="s">
        <v>48</v>
      </c>
      <c r="H751" s="217" t="s">
        <v>48</v>
      </c>
      <c r="I751" s="217" t="s">
        <v>304</v>
      </c>
      <c r="J751" s="217" t="s">
        <v>305</v>
      </c>
      <c r="K751" s="217" t="s">
        <v>112</v>
      </c>
      <c r="L751" s="217" t="s">
        <v>112</v>
      </c>
      <c r="M751" s="217" t="s">
        <v>113</v>
      </c>
      <c r="N751" s="217" t="s">
        <v>114</v>
      </c>
      <c r="O751" s="219">
        <v>0</v>
      </c>
      <c r="P751" s="8">
        <f t="shared" ref="P751" si="232">+P752</f>
        <v>0</v>
      </c>
      <c r="Q751" s="183" t="e">
        <f t="shared" si="227"/>
        <v>#VALUE!</v>
      </c>
      <c r="R751" s="347">
        <f>+R752</f>
        <v>0</v>
      </c>
    </row>
    <row r="752" spans="1:18" s="177" customFormat="1">
      <c r="A752" s="79"/>
      <c r="B752" s="80"/>
      <c r="C752" s="79" t="s">
        <v>1661</v>
      </c>
      <c r="D752" s="28" t="s">
        <v>1101</v>
      </c>
      <c r="E752" s="29" t="s">
        <v>1102</v>
      </c>
      <c r="F752" s="224" t="s">
        <v>304</v>
      </c>
      <c r="G752" s="225" t="s">
        <v>48</v>
      </c>
      <c r="H752" s="225" t="s">
        <v>48</v>
      </c>
      <c r="I752" s="225" t="s">
        <v>304</v>
      </c>
      <c r="J752" s="225" t="s">
        <v>305</v>
      </c>
      <c r="K752" s="225" t="s">
        <v>112</v>
      </c>
      <c r="L752" s="225" t="s">
        <v>112</v>
      </c>
      <c r="M752" s="225" t="s">
        <v>113</v>
      </c>
      <c r="N752" s="225" t="s">
        <v>114</v>
      </c>
      <c r="O752" s="226">
        <v>0</v>
      </c>
      <c r="P752" s="30"/>
      <c r="Q752" s="183" t="e">
        <f t="shared" si="227"/>
        <v>#VALUE!</v>
      </c>
      <c r="R752" s="171"/>
    </row>
    <row r="753" spans="1:18" s="177" customFormat="1">
      <c r="A753" s="10" t="s">
        <v>1663</v>
      </c>
      <c r="B753" s="14" t="s">
        <v>1664</v>
      </c>
      <c r="C753" s="10" t="s">
        <v>1665</v>
      </c>
      <c r="D753" s="25"/>
      <c r="E753" s="9" t="s">
        <v>1666</v>
      </c>
      <c r="F753" s="216">
        <v>105730000</v>
      </c>
      <c r="G753" s="217" t="s">
        <v>48</v>
      </c>
      <c r="H753" s="217" t="s">
        <v>48</v>
      </c>
      <c r="I753" s="218">
        <v>105730000</v>
      </c>
      <c r="J753" s="218">
        <v>105730000</v>
      </c>
      <c r="K753" s="217" t="s">
        <v>112</v>
      </c>
      <c r="L753" s="217" t="s">
        <v>112</v>
      </c>
      <c r="M753" s="217" t="s">
        <v>113</v>
      </c>
      <c r="N753" s="217" t="s">
        <v>114</v>
      </c>
      <c r="O753" s="219">
        <v>0</v>
      </c>
      <c r="P753" s="8">
        <f t="shared" ref="P753" si="233">+P754</f>
        <v>265000000</v>
      </c>
      <c r="Q753" s="183">
        <f t="shared" si="227"/>
        <v>0.6010188679245283</v>
      </c>
      <c r="R753" s="347">
        <f>+R754</f>
        <v>265000000</v>
      </c>
    </row>
    <row r="754" spans="1:18" s="177" customFormat="1">
      <c r="A754" s="79"/>
      <c r="B754" s="80"/>
      <c r="C754" s="79" t="s">
        <v>1665</v>
      </c>
      <c r="D754" s="28" t="s">
        <v>1101</v>
      </c>
      <c r="E754" s="29" t="s">
        <v>1102</v>
      </c>
      <c r="F754" s="227">
        <v>105730000</v>
      </c>
      <c r="G754" s="225" t="s">
        <v>48</v>
      </c>
      <c r="H754" s="225" t="s">
        <v>48</v>
      </c>
      <c r="I754" s="228">
        <v>105730000</v>
      </c>
      <c r="J754" s="228">
        <v>105730000</v>
      </c>
      <c r="K754" s="225" t="s">
        <v>112</v>
      </c>
      <c r="L754" s="225" t="s">
        <v>112</v>
      </c>
      <c r="M754" s="225" t="s">
        <v>113</v>
      </c>
      <c r="N754" s="225" t="s">
        <v>114</v>
      </c>
      <c r="O754" s="226">
        <v>0</v>
      </c>
      <c r="P754" s="30">
        <v>265000000</v>
      </c>
      <c r="Q754" s="183">
        <f t="shared" si="227"/>
        <v>0.6010188679245283</v>
      </c>
      <c r="R754" s="171">
        <v>265000000</v>
      </c>
    </row>
    <row r="755" spans="1:18" s="177" customFormat="1">
      <c r="A755" s="10" t="s">
        <v>1667</v>
      </c>
      <c r="B755" s="14" t="s">
        <v>989</v>
      </c>
      <c r="C755" s="10" t="s">
        <v>1668</v>
      </c>
      <c r="D755" s="25"/>
      <c r="E755" s="22" t="s">
        <v>1669</v>
      </c>
      <c r="F755" s="215" t="s">
        <v>304</v>
      </c>
      <c r="G755" s="217" t="s">
        <v>48</v>
      </c>
      <c r="H755" s="217" t="s">
        <v>48</v>
      </c>
      <c r="I755" s="217" t="s">
        <v>304</v>
      </c>
      <c r="J755" s="217" t="s">
        <v>305</v>
      </c>
      <c r="K755" s="217" t="s">
        <v>112</v>
      </c>
      <c r="L755" s="217" t="s">
        <v>112</v>
      </c>
      <c r="M755" s="217" t="s">
        <v>113</v>
      </c>
      <c r="N755" s="217" t="s">
        <v>114</v>
      </c>
      <c r="O755" s="219">
        <v>0</v>
      </c>
      <c r="P755" s="15"/>
      <c r="Q755" s="183" t="e">
        <f t="shared" si="227"/>
        <v>#VALUE!</v>
      </c>
      <c r="R755" s="359"/>
    </row>
    <row r="756" spans="1:18" s="177" customFormat="1">
      <c r="A756" s="10" t="s">
        <v>1670</v>
      </c>
      <c r="B756" s="14" t="s">
        <v>989</v>
      </c>
      <c r="C756" s="10" t="s">
        <v>1671</v>
      </c>
      <c r="D756" s="25"/>
      <c r="E756" s="22" t="s">
        <v>1672</v>
      </c>
      <c r="F756" s="215" t="s">
        <v>304</v>
      </c>
      <c r="G756" s="217" t="s">
        <v>48</v>
      </c>
      <c r="H756" s="217" t="s">
        <v>48</v>
      </c>
      <c r="I756" s="217" t="s">
        <v>304</v>
      </c>
      <c r="J756" s="217" t="s">
        <v>305</v>
      </c>
      <c r="K756" s="217" t="s">
        <v>112</v>
      </c>
      <c r="L756" s="217" t="s">
        <v>112</v>
      </c>
      <c r="M756" s="217" t="s">
        <v>113</v>
      </c>
      <c r="N756" s="217" t="s">
        <v>114</v>
      </c>
      <c r="O756" s="219">
        <v>0</v>
      </c>
      <c r="P756" s="15"/>
      <c r="Q756" s="183" t="e">
        <f t="shared" si="227"/>
        <v>#VALUE!</v>
      </c>
      <c r="R756" s="359"/>
    </row>
    <row r="757" spans="1:18" s="177" customFormat="1">
      <c r="A757" s="10" t="s">
        <v>1673</v>
      </c>
      <c r="B757" s="14" t="s">
        <v>1674</v>
      </c>
      <c r="C757" s="10" t="s">
        <v>1675</v>
      </c>
      <c r="D757" s="25"/>
      <c r="E757" s="22" t="s">
        <v>1676</v>
      </c>
      <c r="F757" s="216">
        <v>32623000</v>
      </c>
      <c r="G757" s="217" t="s">
        <v>48</v>
      </c>
      <c r="H757" s="217" t="s">
        <v>48</v>
      </c>
      <c r="I757" s="218">
        <v>32623000</v>
      </c>
      <c r="J757" s="217" t="s">
        <v>305</v>
      </c>
      <c r="K757" s="217" t="s">
        <v>112</v>
      </c>
      <c r="L757" s="217" t="s">
        <v>112</v>
      </c>
      <c r="M757" s="217" t="s">
        <v>113</v>
      </c>
      <c r="N757" s="217" t="s">
        <v>114</v>
      </c>
      <c r="O757" s="219">
        <v>0</v>
      </c>
      <c r="P757" s="15">
        <f t="shared" ref="P757" si="234">SUM(P758:P758)</f>
        <v>35000000</v>
      </c>
      <c r="Q757" s="183">
        <f t="shared" si="227"/>
        <v>6.7914285714285719E-2</v>
      </c>
      <c r="R757" s="359">
        <f>SUM(R758:R758)</f>
        <v>35000000</v>
      </c>
    </row>
    <row r="758" spans="1:18" s="177" customFormat="1">
      <c r="A758" s="79"/>
      <c r="B758" s="80"/>
      <c r="C758" s="79" t="s">
        <v>1675</v>
      </c>
      <c r="D758" s="28" t="s">
        <v>1177</v>
      </c>
      <c r="E758" s="29" t="s">
        <v>1178</v>
      </c>
      <c r="F758" s="227">
        <v>32623000</v>
      </c>
      <c r="G758" s="225" t="s">
        <v>48</v>
      </c>
      <c r="H758" s="225" t="s">
        <v>48</v>
      </c>
      <c r="I758" s="228">
        <v>32623000</v>
      </c>
      <c r="J758" s="225" t="s">
        <v>305</v>
      </c>
      <c r="K758" s="225" t="s">
        <v>112</v>
      </c>
      <c r="L758" s="225" t="s">
        <v>112</v>
      </c>
      <c r="M758" s="225" t="s">
        <v>113</v>
      </c>
      <c r="N758" s="225" t="s">
        <v>114</v>
      </c>
      <c r="O758" s="226">
        <v>0</v>
      </c>
      <c r="P758" s="30">
        <v>35000000</v>
      </c>
      <c r="Q758" s="183">
        <f t="shared" si="227"/>
        <v>6.7914285714285719E-2</v>
      </c>
      <c r="R758" s="171">
        <v>35000000</v>
      </c>
    </row>
    <row r="759" spans="1:18" s="177" customFormat="1">
      <c r="A759" s="10" t="s">
        <v>1677</v>
      </c>
      <c r="B759" s="14" t="s">
        <v>1678</v>
      </c>
      <c r="C759" s="10" t="s">
        <v>1679</v>
      </c>
      <c r="D759" s="25"/>
      <c r="E759" s="22" t="s">
        <v>1680</v>
      </c>
      <c r="F759" s="216">
        <v>50000000</v>
      </c>
      <c r="G759" s="217" t="s">
        <v>48</v>
      </c>
      <c r="H759" s="217" t="s">
        <v>48</v>
      </c>
      <c r="I759" s="218">
        <v>50000000</v>
      </c>
      <c r="J759" s="217" t="s">
        <v>305</v>
      </c>
      <c r="K759" s="217" t="s">
        <v>112</v>
      </c>
      <c r="L759" s="217" t="s">
        <v>112</v>
      </c>
      <c r="M759" s="217" t="s">
        <v>113</v>
      </c>
      <c r="N759" s="217" t="s">
        <v>114</v>
      </c>
      <c r="O759" s="219">
        <v>0</v>
      </c>
      <c r="P759" s="15">
        <f t="shared" ref="P759" si="235">+P760</f>
        <v>53000000</v>
      </c>
      <c r="Q759" s="183">
        <f t="shared" si="227"/>
        <v>5.6603773584905662E-2</v>
      </c>
      <c r="R759" s="359">
        <f>+R760</f>
        <v>53000000</v>
      </c>
    </row>
    <row r="760" spans="1:18" s="177" customFormat="1">
      <c r="A760" s="79"/>
      <c r="B760" s="80"/>
      <c r="C760" s="79" t="s">
        <v>1679</v>
      </c>
      <c r="D760" s="28" t="s">
        <v>1022</v>
      </c>
      <c r="E760" s="29" t="s">
        <v>1023</v>
      </c>
      <c r="F760" s="227">
        <v>50000000</v>
      </c>
      <c r="G760" s="225" t="s">
        <v>48</v>
      </c>
      <c r="H760" s="225" t="s">
        <v>48</v>
      </c>
      <c r="I760" s="228">
        <v>50000000</v>
      </c>
      <c r="J760" s="225" t="s">
        <v>305</v>
      </c>
      <c r="K760" s="225" t="s">
        <v>112</v>
      </c>
      <c r="L760" s="225" t="s">
        <v>112</v>
      </c>
      <c r="M760" s="225" t="s">
        <v>113</v>
      </c>
      <c r="N760" s="225" t="s">
        <v>114</v>
      </c>
      <c r="O760" s="226">
        <v>0</v>
      </c>
      <c r="P760" s="30">
        <v>53000000</v>
      </c>
      <c r="Q760" s="183">
        <f t="shared" si="227"/>
        <v>5.6603773584905662E-2</v>
      </c>
      <c r="R760" s="171">
        <v>53000000</v>
      </c>
    </row>
    <row r="761" spans="1:18" s="177" customFormat="1">
      <c r="A761" s="10" t="s">
        <v>1681</v>
      </c>
      <c r="B761" s="14" t="s">
        <v>1682</v>
      </c>
      <c r="C761" s="10" t="s">
        <v>1683</v>
      </c>
      <c r="D761" s="25"/>
      <c r="E761" s="22" t="s">
        <v>1684</v>
      </c>
      <c r="F761" s="216">
        <v>154494000</v>
      </c>
      <c r="G761" s="217" t="s">
        <v>48</v>
      </c>
      <c r="H761" s="218">
        <v>32367000</v>
      </c>
      <c r="I761" s="218">
        <v>186861000</v>
      </c>
      <c r="J761" s="218">
        <v>154320000</v>
      </c>
      <c r="K761" s="217" t="s">
        <v>112</v>
      </c>
      <c r="L761" s="218">
        <v>154320000</v>
      </c>
      <c r="M761" s="217" t="s">
        <v>113</v>
      </c>
      <c r="N761" s="217" t="s">
        <v>114</v>
      </c>
      <c r="O761" s="219">
        <v>0.82589999999999997</v>
      </c>
      <c r="P761" s="15">
        <f t="shared" ref="P761" si="236">+P762</f>
        <v>161447000</v>
      </c>
      <c r="Q761" s="183">
        <f t="shared" si="227"/>
        <v>-0.15741388814905202</v>
      </c>
      <c r="R761" s="359">
        <f>+R762</f>
        <v>161447000</v>
      </c>
    </row>
    <row r="762" spans="1:18" s="177" customFormat="1">
      <c r="A762" s="79"/>
      <c r="B762" s="80"/>
      <c r="C762" s="79" t="s">
        <v>1683</v>
      </c>
      <c r="D762" s="28" t="s">
        <v>1101</v>
      </c>
      <c r="E762" s="29" t="s">
        <v>1102</v>
      </c>
      <c r="F762" s="227">
        <v>154494000</v>
      </c>
      <c r="G762" s="225" t="s">
        <v>48</v>
      </c>
      <c r="H762" s="228">
        <v>32367000</v>
      </c>
      <c r="I762" s="228">
        <v>186861000</v>
      </c>
      <c r="J762" s="228">
        <v>154320000</v>
      </c>
      <c r="K762" s="225" t="s">
        <v>112</v>
      </c>
      <c r="L762" s="228">
        <v>154320000</v>
      </c>
      <c r="M762" s="225" t="s">
        <v>113</v>
      </c>
      <c r="N762" s="225" t="s">
        <v>114</v>
      </c>
      <c r="O762" s="226">
        <v>0.82589999999999997</v>
      </c>
      <c r="P762" s="30">
        <v>161447000</v>
      </c>
      <c r="Q762" s="183">
        <f t="shared" si="227"/>
        <v>-0.15741388814905202</v>
      </c>
      <c r="R762" s="171">
        <v>161447000</v>
      </c>
    </row>
    <row r="763" spans="1:18" s="177" customFormat="1">
      <c r="A763" s="10" t="s">
        <v>1685</v>
      </c>
      <c r="B763" s="14" t="s">
        <v>989</v>
      </c>
      <c r="C763" s="10" t="s">
        <v>1686</v>
      </c>
      <c r="D763" s="25"/>
      <c r="E763" s="22" t="s">
        <v>1687</v>
      </c>
      <c r="F763" s="215" t="s">
        <v>304</v>
      </c>
      <c r="G763" s="217" t="s">
        <v>48</v>
      </c>
      <c r="H763" s="217" t="s">
        <v>48</v>
      </c>
      <c r="I763" s="217" t="s">
        <v>304</v>
      </c>
      <c r="J763" s="217" t="s">
        <v>305</v>
      </c>
      <c r="K763" s="217" t="s">
        <v>112</v>
      </c>
      <c r="L763" s="217" t="s">
        <v>112</v>
      </c>
      <c r="M763" s="217" t="s">
        <v>113</v>
      </c>
      <c r="N763" s="217" t="s">
        <v>114</v>
      </c>
      <c r="O763" s="219">
        <v>0</v>
      </c>
      <c r="P763" s="15"/>
      <c r="Q763" s="183" t="e">
        <f t="shared" si="227"/>
        <v>#VALUE!</v>
      </c>
      <c r="R763" s="359"/>
    </row>
    <row r="764" spans="1:18" s="177" customFormat="1">
      <c r="A764" s="10" t="s">
        <v>1688</v>
      </c>
      <c r="B764" s="14" t="s">
        <v>1689</v>
      </c>
      <c r="C764" s="10" t="s">
        <v>1690</v>
      </c>
      <c r="D764" s="25"/>
      <c r="E764" s="22" t="s">
        <v>1691</v>
      </c>
      <c r="F764" s="216">
        <v>65245000</v>
      </c>
      <c r="G764" s="217" t="s">
        <v>48</v>
      </c>
      <c r="H764" s="217" t="s">
        <v>48</v>
      </c>
      <c r="I764" s="218">
        <v>65245000</v>
      </c>
      <c r="J764" s="218">
        <v>65244130</v>
      </c>
      <c r="K764" s="217" t="s">
        <v>112</v>
      </c>
      <c r="L764" s="218">
        <v>65244130</v>
      </c>
      <c r="M764" s="217" t="s">
        <v>113</v>
      </c>
      <c r="N764" s="218">
        <v>49286230</v>
      </c>
      <c r="O764" s="219">
        <v>1</v>
      </c>
      <c r="P764" s="15">
        <f t="shared" ref="P764" si="237">+P765</f>
        <v>90000000</v>
      </c>
      <c r="Q764" s="183">
        <f t="shared" si="227"/>
        <v>0.27505555555555555</v>
      </c>
      <c r="R764" s="359">
        <f>+R765</f>
        <v>90000000</v>
      </c>
    </row>
    <row r="765" spans="1:18" s="177" customFormat="1">
      <c r="A765" s="79"/>
      <c r="B765" s="80"/>
      <c r="C765" s="79" t="s">
        <v>1690</v>
      </c>
      <c r="D765" s="28" t="s">
        <v>1046</v>
      </c>
      <c r="E765" s="29" t="s">
        <v>1047</v>
      </c>
      <c r="F765" s="227">
        <v>65245000</v>
      </c>
      <c r="G765" s="225" t="s">
        <v>48</v>
      </c>
      <c r="H765" s="225" t="s">
        <v>48</v>
      </c>
      <c r="I765" s="228">
        <v>65245000</v>
      </c>
      <c r="J765" s="228">
        <v>65244130</v>
      </c>
      <c r="K765" s="225" t="s">
        <v>112</v>
      </c>
      <c r="L765" s="228">
        <v>65244130</v>
      </c>
      <c r="M765" s="225" t="s">
        <v>113</v>
      </c>
      <c r="N765" s="228">
        <v>49286230</v>
      </c>
      <c r="O765" s="226">
        <v>1</v>
      </c>
      <c r="P765" s="30">
        <v>90000000</v>
      </c>
      <c r="Q765" s="183">
        <f t="shared" si="227"/>
        <v>0.27505555555555555</v>
      </c>
      <c r="R765" s="171">
        <v>90000000</v>
      </c>
    </row>
    <row r="766" spans="1:18" s="177" customFormat="1">
      <c r="A766" s="10" t="s">
        <v>1692</v>
      </c>
      <c r="B766" s="14" t="s">
        <v>1693</v>
      </c>
      <c r="C766" s="10" t="s">
        <v>1694</v>
      </c>
      <c r="D766" s="25"/>
      <c r="E766" s="22" t="s">
        <v>1695</v>
      </c>
      <c r="F766" s="216">
        <v>85487000</v>
      </c>
      <c r="G766" s="217" t="s">
        <v>48</v>
      </c>
      <c r="H766" s="218">
        <v>100000000</v>
      </c>
      <c r="I766" s="218">
        <v>185487000</v>
      </c>
      <c r="J766" s="218">
        <v>80854500</v>
      </c>
      <c r="K766" s="217" t="s">
        <v>112</v>
      </c>
      <c r="L766" s="218">
        <v>80854500</v>
      </c>
      <c r="M766" s="218">
        <v>37201880</v>
      </c>
      <c r="N766" s="218">
        <v>37201880</v>
      </c>
      <c r="O766" s="219">
        <v>0.43590000000000001</v>
      </c>
      <c r="P766" s="15">
        <f t="shared" ref="P766" si="238">+P767</f>
        <v>124534000</v>
      </c>
      <c r="Q766" s="183">
        <f t="shared" si="227"/>
        <v>-0.48944866462170972</v>
      </c>
      <c r="R766" s="359">
        <f>+R767</f>
        <v>124534000</v>
      </c>
    </row>
    <row r="767" spans="1:18" s="177" customFormat="1">
      <c r="A767" s="79"/>
      <c r="B767" s="80"/>
      <c r="C767" s="79" t="s">
        <v>1694</v>
      </c>
      <c r="D767" s="28" t="s">
        <v>1101</v>
      </c>
      <c r="E767" s="29" t="s">
        <v>1102</v>
      </c>
      <c r="F767" s="227">
        <v>85487000</v>
      </c>
      <c r="G767" s="225" t="s">
        <v>48</v>
      </c>
      <c r="H767" s="228">
        <v>100000000</v>
      </c>
      <c r="I767" s="228">
        <v>185487000</v>
      </c>
      <c r="J767" s="228">
        <v>80854500</v>
      </c>
      <c r="K767" s="225" t="s">
        <v>112</v>
      </c>
      <c r="L767" s="228">
        <v>80854500</v>
      </c>
      <c r="M767" s="228">
        <v>37201880</v>
      </c>
      <c r="N767" s="228">
        <v>37201880</v>
      </c>
      <c r="O767" s="226">
        <v>0.43590000000000001</v>
      </c>
      <c r="P767" s="30">
        <v>124534000</v>
      </c>
      <c r="Q767" s="183">
        <f t="shared" si="227"/>
        <v>-0.48944866462170972</v>
      </c>
      <c r="R767" s="171">
        <v>124534000</v>
      </c>
    </row>
    <row r="768" spans="1:18" s="177" customFormat="1">
      <c r="A768" s="10" t="s">
        <v>1696</v>
      </c>
      <c r="B768" s="14" t="s">
        <v>1697</v>
      </c>
      <c r="C768" s="10" t="s">
        <v>1698</v>
      </c>
      <c r="D768" s="25"/>
      <c r="E768" s="22" t="s">
        <v>1699</v>
      </c>
      <c r="F768" s="216">
        <v>91300000</v>
      </c>
      <c r="G768" s="217" t="s">
        <v>48</v>
      </c>
      <c r="H768" s="218">
        <v>-58300000</v>
      </c>
      <c r="I768" s="218">
        <v>33000000</v>
      </c>
      <c r="J768" s="218">
        <v>32952903</v>
      </c>
      <c r="K768" s="217" t="s">
        <v>112</v>
      </c>
      <c r="L768" s="217" t="s">
        <v>112</v>
      </c>
      <c r="M768" s="217" t="s">
        <v>113</v>
      </c>
      <c r="N768" s="217" t="s">
        <v>114</v>
      </c>
      <c r="O768" s="219">
        <v>0</v>
      </c>
      <c r="P768" s="15">
        <f>SUM(P769:P770)</f>
        <v>125588637</v>
      </c>
      <c r="Q768" s="183">
        <f t="shared" si="227"/>
        <v>0.73723737442902582</v>
      </c>
      <c r="R768" s="359">
        <f>SUM(R769:R770)</f>
        <v>125588637</v>
      </c>
    </row>
    <row r="769" spans="1:18" s="177" customFormat="1">
      <c r="A769" s="79"/>
      <c r="B769" s="80"/>
      <c r="C769" s="79" t="s">
        <v>1698</v>
      </c>
      <c r="D769" s="28" t="s">
        <v>1022</v>
      </c>
      <c r="E769" s="29" t="s">
        <v>1023</v>
      </c>
      <c r="F769" s="227">
        <v>91300000</v>
      </c>
      <c r="G769" s="225" t="s">
        <v>48</v>
      </c>
      <c r="H769" s="228">
        <v>-58300000</v>
      </c>
      <c r="I769" s="228">
        <v>33000000</v>
      </c>
      <c r="J769" s="228">
        <v>32952903</v>
      </c>
      <c r="K769" s="225" t="s">
        <v>112</v>
      </c>
      <c r="L769" s="225" t="s">
        <v>112</v>
      </c>
      <c r="M769" s="225" t="s">
        <v>113</v>
      </c>
      <c r="N769" s="225" t="s">
        <v>114</v>
      </c>
      <c r="O769" s="226">
        <v>0</v>
      </c>
      <c r="P769" s="30">
        <f>50000000+50000000</f>
        <v>100000000</v>
      </c>
      <c r="Q769" s="183">
        <f t="shared" si="227"/>
        <v>0.67</v>
      </c>
      <c r="R769" s="171">
        <f>50000000+50000000</f>
        <v>100000000</v>
      </c>
    </row>
    <row r="770" spans="1:18" s="177" customFormat="1">
      <c r="A770" s="79"/>
      <c r="B770" s="80"/>
      <c r="C770" s="79"/>
      <c r="D770" s="28" t="s">
        <v>1086</v>
      </c>
      <c r="E770" s="29" t="s">
        <v>1087</v>
      </c>
      <c r="F770" s="30"/>
      <c r="G770" s="30"/>
      <c r="H770" s="30"/>
      <c r="I770" s="30"/>
      <c r="J770" s="30"/>
      <c r="K770" s="30"/>
      <c r="L770" s="30"/>
      <c r="M770" s="30"/>
      <c r="N770" s="30"/>
      <c r="O770" s="159"/>
      <c r="P770" s="30">
        <v>25588637</v>
      </c>
      <c r="Q770" s="183">
        <f t="shared" si="227"/>
        <v>1</v>
      </c>
      <c r="R770" s="171">
        <v>25588637</v>
      </c>
    </row>
    <row r="771" spans="1:18">
      <c r="A771" s="94" t="s">
        <v>1700</v>
      </c>
      <c r="B771" s="16" t="s">
        <v>1701</v>
      </c>
      <c r="C771" s="12" t="s">
        <v>1702</v>
      </c>
      <c r="D771" s="24"/>
      <c r="E771" s="11" t="s">
        <v>1703</v>
      </c>
      <c r="F771" s="268">
        <v>701686000</v>
      </c>
      <c r="G771" s="269" t="s">
        <v>35</v>
      </c>
      <c r="H771" s="270">
        <v>42681300</v>
      </c>
      <c r="I771" s="270">
        <v>744367300</v>
      </c>
      <c r="J771" s="270">
        <v>588591800</v>
      </c>
      <c r="K771" s="270">
        <v>50201160</v>
      </c>
      <c r="L771" s="270">
        <v>578695255</v>
      </c>
      <c r="M771" s="269" t="s">
        <v>315</v>
      </c>
      <c r="N771" s="270">
        <v>381906510</v>
      </c>
      <c r="O771" s="271">
        <v>0.77739999999999998</v>
      </c>
      <c r="P771" s="13">
        <f t="shared" ref="P771:P772" si="239">+P772</f>
        <v>797204794</v>
      </c>
      <c r="Q771" s="183">
        <f t="shared" si="227"/>
        <v>6.6278444883511325E-2</v>
      </c>
      <c r="R771" s="349">
        <f>+R772</f>
        <v>797204794</v>
      </c>
    </row>
    <row r="772" spans="1:18">
      <c r="A772" s="72" t="s">
        <v>1704</v>
      </c>
      <c r="B772" s="73" t="s">
        <v>989</v>
      </c>
      <c r="C772" s="74" t="s">
        <v>1705</v>
      </c>
      <c r="D772" s="75"/>
      <c r="E772" s="20" t="s">
        <v>1706</v>
      </c>
      <c r="F772" s="206">
        <v>701686000</v>
      </c>
      <c r="G772" s="207" t="s">
        <v>35</v>
      </c>
      <c r="H772" s="208">
        <v>42681300</v>
      </c>
      <c r="I772" s="208">
        <v>744367300</v>
      </c>
      <c r="J772" s="208">
        <v>588591800</v>
      </c>
      <c r="K772" s="208">
        <v>50201160</v>
      </c>
      <c r="L772" s="208">
        <v>578695255</v>
      </c>
      <c r="M772" s="207" t="s">
        <v>315</v>
      </c>
      <c r="N772" s="208">
        <v>381906510</v>
      </c>
      <c r="O772" s="209">
        <v>0.77739999999999998</v>
      </c>
      <c r="P772" s="76">
        <f t="shared" si="239"/>
        <v>797204794</v>
      </c>
      <c r="Q772" s="183">
        <f t="shared" si="227"/>
        <v>6.6278444883511325E-2</v>
      </c>
      <c r="R772" s="345">
        <f>+R773</f>
        <v>797204794</v>
      </c>
    </row>
    <row r="773" spans="1:18" s="177" customFormat="1">
      <c r="A773" s="39" t="s">
        <v>1707</v>
      </c>
      <c r="B773" s="95" t="s">
        <v>989</v>
      </c>
      <c r="C773" s="96" t="s">
        <v>1708</v>
      </c>
      <c r="D773" s="38"/>
      <c r="E773" s="39" t="s">
        <v>1709</v>
      </c>
      <c r="F773" s="249">
        <v>701686000</v>
      </c>
      <c r="G773" s="250" t="s">
        <v>35</v>
      </c>
      <c r="H773" s="251">
        <v>42681300</v>
      </c>
      <c r="I773" s="251">
        <v>744367300</v>
      </c>
      <c r="J773" s="251">
        <v>588591800</v>
      </c>
      <c r="K773" s="251">
        <v>50201160</v>
      </c>
      <c r="L773" s="251">
        <v>578695255</v>
      </c>
      <c r="M773" s="250" t="s">
        <v>315</v>
      </c>
      <c r="N773" s="251">
        <v>381906510</v>
      </c>
      <c r="O773" s="252">
        <v>0.77739999999999998</v>
      </c>
      <c r="P773" s="97">
        <f t="shared" ref="P773" si="240">+P774+P781</f>
        <v>797204794</v>
      </c>
      <c r="Q773" s="183">
        <f t="shared" si="227"/>
        <v>6.6278444883511325E-2</v>
      </c>
      <c r="R773" s="355">
        <f>+R774+R781</f>
        <v>797204794</v>
      </c>
    </row>
    <row r="774" spans="1:18">
      <c r="A774" s="101"/>
      <c r="B774" s="102" t="s">
        <v>1710</v>
      </c>
      <c r="C774" s="101" t="s">
        <v>1711</v>
      </c>
      <c r="D774" s="26"/>
      <c r="E774" s="23" t="s">
        <v>1712</v>
      </c>
      <c r="F774" s="216">
        <v>226938000</v>
      </c>
      <c r="G774" s="217" t="s">
        <v>48</v>
      </c>
      <c r="H774" s="218">
        <v>48000000</v>
      </c>
      <c r="I774" s="218">
        <v>274938000</v>
      </c>
      <c r="J774" s="218">
        <v>216638600</v>
      </c>
      <c r="K774" s="217" t="s">
        <v>112</v>
      </c>
      <c r="L774" s="218">
        <v>216638600</v>
      </c>
      <c r="M774" s="217" t="s">
        <v>113</v>
      </c>
      <c r="N774" s="218">
        <v>130809370</v>
      </c>
      <c r="O774" s="219">
        <v>0.78800000000000003</v>
      </c>
      <c r="P774" s="15">
        <f>SUM(P775:P780)</f>
        <v>574885927</v>
      </c>
      <c r="Q774" s="183">
        <f t="shared" si="227"/>
        <v>0.52175207795615419</v>
      </c>
      <c r="R774" s="359">
        <f>SUM(R775:R780)</f>
        <v>574885927</v>
      </c>
    </row>
    <row r="775" spans="1:18" s="177" customFormat="1">
      <c r="A775" s="79"/>
      <c r="B775" s="80"/>
      <c r="C775" s="79" t="s">
        <v>1711</v>
      </c>
      <c r="D775" s="28" t="s">
        <v>401</v>
      </c>
      <c r="E775" s="29" t="s">
        <v>1358</v>
      </c>
      <c r="F775" s="227">
        <v>27109000</v>
      </c>
      <c r="G775" s="225" t="s">
        <v>48</v>
      </c>
      <c r="H775" s="225" t="s">
        <v>48</v>
      </c>
      <c r="I775" s="228">
        <v>27109000</v>
      </c>
      <c r="J775" s="225" t="s">
        <v>305</v>
      </c>
      <c r="K775" s="225" t="s">
        <v>112</v>
      </c>
      <c r="L775" s="225" t="s">
        <v>112</v>
      </c>
      <c r="M775" s="225" t="s">
        <v>113</v>
      </c>
      <c r="N775" s="225" t="s">
        <v>114</v>
      </c>
      <c r="O775" s="226">
        <v>0</v>
      </c>
      <c r="P775" s="30">
        <v>28334327</v>
      </c>
      <c r="Q775" s="183">
        <f t="shared" si="227"/>
        <v>4.3245318655353984E-2</v>
      </c>
      <c r="R775" s="171">
        <v>28334327</v>
      </c>
    </row>
    <row r="776" spans="1:18" s="177" customFormat="1">
      <c r="A776" s="79"/>
      <c r="B776" s="80"/>
      <c r="C776" s="79" t="s">
        <v>1711</v>
      </c>
      <c r="D776" s="28" t="s">
        <v>1224</v>
      </c>
      <c r="E776" s="29" t="s">
        <v>1225</v>
      </c>
      <c r="F776" s="227">
        <v>10573000</v>
      </c>
      <c r="G776" s="225" t="s">
        <v>48</v>
      </c>
      <c r="H776" s="225" t="s">
        <v>48</v>
      </c>
      <c r="I776" s="228">
        <v>10573000</v>
      </c>
      <c r="J776" s="225" t="s">
        <v>305</v>
      </c>
      <c r="K776" s="225" t="s">
        <v>112</v>
      </c>
      <c r="L776" s="225" t="s">
        <v>112</v>
      </c>
      <c r="M776" s="225" t="s">
        <v>113</v>
      </c>
      <c r="N776" s="225" t="s">
        <v>114</v>
      </c>
      <c r="O776" s="226">
        <v>0</v>
      </c>
      <c r="P776" s="165"/>
      <c r="Q776" s="183" t="e">
        <f t="shared" si="227"/>
        <v>#DIV/0!</v>
      </c>
      <c r="R776" s="360"/>
    </row>
    <row r="777" spans="1:18" s="177" customFormat="1">
      <c r="A777" s="79"/>
      <c r="B777" s="80"/>
      <c r="C777" s="79" t="s">
        <v>1711</v>
      </c>
      <c r="D777" s="28" t="s">
        <v>1046</v>
      </c>
      <c r="E777" s="29" t="s">
        <v>1047</v>
      </c>
      <c r="F777" s="227">
        <v>168639000</v>
      </c>
      <c r="G777" s="225" t="s">
        <v>48</v>
      </c>
      <c r="H777" s="228">
        <v>48000000</v>
      </c>
      <c r="I777" s="228">
        <v>216639000</v>
      </c>
      <c r="J777" s="228">
        <v>216638600</v>
      </c>
      <c r="K777" s="225" t="s">
        <v>112</v>
      </c>
      <c r="L777" s="228">
        <v>216638600</v>
      </c>
      <c r="M777" s="225" t="s">
        <v>113</v>
      </c>
      <c r="N777" s="228">
        <v>130809370</v>
      </c>
      <c r="O777" s="226">
        <v>1</v>
      </c>
      <c r="P777" s="30">
        <v>170000000</v>
      </c>
      <c r="Q777" s="183">
        <f t="shared" si="227"/>
        <v>-0.27434705882352939</v>
      </c>
      <c r="R777" s="171">
        <v>170000000</v>
      </c>
    </row>
    <row r="778" spans="1:18" s="177" customFormat="1">
      <c r="A778" s="79"/>
      <c r="B778" s="80"/>
      <c r="C778" s="79" t="s">
        <v>1711</v>
      </c>
      <c r="D778" s="28" t="s">
        <v>1001</v>
      </c>
      <c r="E778" s="29" t="s">
        <v>1314</v>
      </c>
      <c r="F778" s="227">
        <v>20617000</v>
      </c>
      <c r="G778" s="225" t="s">
        <v>48</v>
      </c>
      <c r="H778" s="225" t="s">
        <v>48</v>
      </c>
      <c r="I778" s="228">
        <v>20617000</v>
      </c>
      <c r="J778" s="225" t="s">
        <v>305</v>
      </c>
      <c r="K778" s="225" t="s">
        <v>112</v>
      </c>
      <c r="L778" s="225" t="s">
        <v>112</v>
      </c>
      <c r="M778" s="225" t="s">
        <v>113</v>
      </c>
      <c r="N778" s="225" t="s">
        <v>114</v>
      </c>
      <c r="O778" s="226">
        <v>0</v>
      </c>
      <c r="P778" s="165">
        <f>23000000+2000000</f>
        <v>25000000</v>
      </c>
      <c r="Q778" s="183">
        <f t="shared" si="227"/>
        <v>0.17532</v>
      </c>
      <c r="R778" s="360">
        <f>23000000+2000000</f>
        <v>25000000</v>
      </c>
    </row>
    <row r="779" spans="1:18" s="177" customFormat="1">
      <c r="A779" s="79"/>
      <c r="B779" s="80"/>
      <c r="C779" s="79"/>
      <c r="D779" s="28" t="s">
        <v>1086</v>
      </c>
      <c r="E779" s="29" t="s">
        <v>1087</v>
      </c>
      <c r="F779" s="30"/>
      <c r="G779" s="30"/>
      <c r="H779" s="30"/>
      <c r="I779" s="30"/>
      <c r="J779" s="30"/>
      <c r="K779" s="30"/>
      <c r="L779" s="30"/>
      <c r="M779" s="30"/>
      <c r="N779" s="30"/>
      <c r="O779" s="159"/>
      <c r="P779" s="165">
        <v>70000000</v>
      </c>
      <c r="Q779" s="183">
        <f t="shared" si="227"/>
        <v>1</v>
      </c>
      <c r="R779" s="360">
        <v>70000000</v>
      </c>
    </row>
    <row r="780" spans="1:18" s="177" customFormat="1">
      <c r="A780" s="79"/>
      <c r="B780" s="80"/>
      <c r="C780" s="79"/>
      <c r="D780" s="28" t="s">
        <v>1003</v>
      </c>
      <c r="E780" s="29" t="s">
        <v>1713</v>
      </c>
      <c r="F780" s="30"/>
      <c r="G780" s="30"/>
      <c r="H780" s="30"/>
      <c r="I780" s="30"/>
      <c r="J780" s="30"/>
      <c r="K780" s="30"/>
      <c r="L780" s="30"/>
      <c r="M780" s="30"/>
      <c r="N780" s="30"/>
      <c r="O780" s="159"/>
      <c r="P780" s="165">
        <v>281551600</v>
      </c>
      <c r="Q780" s="183">
        <f t="shared" si="227"/>
        <v>1</v>
      </c>
      <c r="R780" s="360">
        <v>281551600</v>
      </c>
    </row>
    <row r="781" spans="1:18">
      <c r="A781" s="101"/>
      <c r="B781" s="102" t="s">
        <v>1714</v>
      </c>
      <c r="C781" s="101" t="s">
        <v>1715</v>
      </c>
      <c r="D781" s="26"/>
      <c r="E781" s="23" t="s">
        <v>1716</v>
      </c>
      <c r="F781" s="272">
        <v>474748000</v>
      </c>
      <c r="G781" s="255" t="s">
        <v>48</v>
      </c>
      <c r="H781" s="273">
        <v>-5318700</v>
      </c>
      <c r="I781" s="273">
        <v>469429300</v>
      </c>
      <c r="J781" s="273">
        <v>371953200</v>
      </c>
      <c r="K781" s="273">
        <v>50201160</v>
      </c>
      <c r="L781" s="273">
        <v>362056655</v>
      </c>
      <c r="M781" s="255" t="s">
        <v>113</v>
      </c>
      <c r="N781" s="273">
        <v>251097140</v>
      </c>
      <c r="O781" s="274">
        <v>0.77129999999999999</v>
      </c>
      <c r="P781" s="15">
        <f>SUM(P782:P791)</f>
        <v>222318867</v>
      </c>
      <c r="Q781" s="183">
        <f t="shared" si="227"/>
        <v>-1.111513549590013</v>
      </c>
      <c r="R781" s="359">
        <f>SUM(R782:R791)</f>
        <v>222318867</v>
      </c>
    </row>
    <row r="782" spans="1:18" s="177" customFormat="1">
      <c r="A782" s="79"/>
      <c r="B782" s="80"/>
      <c r="C782" s="79" t="s">
        <v>1715</v>
      </c>
      <c r="D782" s="28" t="s">
        <v>1022</v>
      </c>
      <c r="E782" s="29" t="s">
        <v>1023</v>
      </c>
      <c r="F782" s="227">
        <v>42292000</v>
      </c>
      <c r="G782" s="225" t="s">
        <v>48</v>
      </c>
      <c r="H782" s="228">
        <v>-5318700</v>
      </c>
      <c r="I782" s="228">
        <v>36973300</v>
      </c>
      <c r="J782" s="228">
        <v>36973300</v>
      </c>
      <c r="K782" s="225" t="s">
        <v>112</v>
      </c>
      <c r="L782" s="228">
        <v>36973300</v>
      </c>
      <c r="M782" s="225" t="s">
        <v>113</v>
      </c>
      <c r="N782" s="228">
        <v>36973300</v>
      </c>
      <c r="O782" s="226">
        <v>1</v>
      </c>
      <c r="P782" s="30">
        <v>70000000</v>
      </c>
      <c r="Q782" s="183">
        <f t="shared" si="227"/>
        <v>0.47181000000000001</v>
      </c>
      <c r="R782" s="171">
        <v>70000000</v>
      </c>
    </row>
    <row r="783" spans="1:18" s="177" customFormat="1">
      <c r="A783" s="79"/>
      <c r="B783" s="80"/>
      <c r="C783" s="79" t="s">
        <v>1715</v>
      </c>
      <c r="D783" s="28" t="s">
        <v>393</v>
      </c>
      <c r="E783" s="29" t="s">
        <v>1216</v>
      </c>
      <c r="F783" s="227">
        <v>37059000</v>
      </c>
      <c r="G783" s="225" t="s">
        <v>48</v>
      </c>
      <c r="H783" s="225" t="s">
        <v>48</v>
      </c>
      <c r="I783" s="228">
        <v>37059000</v>
      </c>
      <c r="J783" s="228">
        <v>1279250</v>
      </c>
      <c r="K783" s="225" t="s">
        <v>112</v>
      </c>
      <c r="L783" s="228">
        <v>1279250</v>
      </c>
      <c r="M783" s="225" t="s">
        <v>113</v>
      </c>
      <c r="N783" s="225" t="s">
        <v>114</v>
      </c>
      <c r="O783" s="226">
        <v>3.4500000000000003E-2</v>
      </c>
      <c r="P783" s="30">
        <v>38734067</v>
      </c>
      <c r="Q783" s="183">
        <f t="shared" si="227"/>
        <v>4.3245316842148281E-2</v>
      </c>
      <c r="R783" s="171">
        <v>38734067</v>
      </c>
    </row>
    <row r="784" spans="1:18" s="177" customFormat="1">
      <c r="A784" s="79"/>
      <c r="B784" s="80"/>
      <c r="C784" s="79" t="s">
        <v>1715</v>
      </c>
      <c r="D784" s="28" t="s">
        <v>405</v>
      </c>
      <c r="E784" s="29" t="s">
        <v>1219</v>
      </c>
      <c r="F784" s="227">
        <v>40417000</v>
      </c>
      <c r="G784" s="225" t="s">
        <v>48</v>
      </c>
      <c r="H784" s="225" t="s">
        <v>48</v>
      </c>
      <c r="I784" s="228">
        <v>40417000</v>
      </c>
      <c r="J784" s="228">
        <v>40417000</v>
      </c>
      <c r="K784" s="225" t="s">
        <v>112</v>
      </c>
      <c r="L784" s="228">
        <v>30520455</v>
      </c>
      <c r="M784" s="225" t="s">
        <v>113</v>
      </c>
      <c r="N784" s="225" t="s">
        <v>114</v>
      </c>
      <c r="O784" s="226">
        <v>0.75509999999999999</v>
      </c>
      <c r="P784" s="30">
        <v>50000000</v>
      </c>
      <c r="Q784" s="183">
        <f t="shared" si="227"/>
        <v>0.19166</v>
      </c>
      <c r="R784" s="171">
        <v>50000000</v>
      </c>
    </row>
    <row r="785" spans="1:18" s="177" customFormat="1">
      <c r="A785" s="79"/>
      <c r="B785" s="80"/>
      <c r="C785" s="79" t="s">
        <v>1715</v>
      </c>
      <c r="D785" s="28" t="s">
        <v>409</v>
      </c>
      <c r="E785" s="29" t="s">
        <v>1220</v>
      </c>
      <c r="F785" s="227">
        <v>24000000</v>
      </c>
      <c r="G785" s="225" t="s">
        <v>48</v>
      </c>
      <c r="H785" s="225" t="s">
        <v>48</v>
      </c>
      <c r="I785" s="228">
        <v>24000000</v>
      </c>
      <c r="J785" s="225" t="s">
        <v>305</v>
      </c>
      <c r="K785" s="225" t="s">
        <v>112</v>
      </c>
      <c r="L785" s="225" t="s">
        <v>112</v>
      </c>
      <c r="M785" s="225" t="s">
        <v>113</v>
      </c>
      <c r="N785" s="225" t="s">
        <v>114</v>
      </c>
      <c r="O785" s="226">
        <v>0</v>
      </c>
      <c r="P785" s="30">
        <v>25084800</v>
      </c>
      <c r="Q785" s="183">
        <f t="shared" si="227"/>
        <v>4.3245311902028322E-2</v>
      </c>
      <c r="R785" s="171">
        <v>25084800</v>
      </c>
    </row>
    <row r="786" spans="1:18" s="177" customFormat="1">
      <c r="A786" s="79"/>
      <c r="B786" s="80"/>
      <c r="C786" s="79" t="s">
        <v>1715</v>
      </c>
      <c r="D786" s="28" t="s">
        <v>1248</v>
      </c>
      <c r="E786" s="29" t="s">
        <v>1249</v>
      </c>
      <c r="F786" s="227">
        <v>6655000</v>
      </c>
      <c r="G786" s="225" t="s">
        <v>48</v>
      </c>
      <c r="H786" s="225" t="s">
        <v>48</v>
      </c>
      <c r="I786" s="228">
        <v>6655000</v>
      </c>
      <c r="J786" s="225" t="s">
        <v>305</v>
      </c>
      <c r="K786" s="225" t="s">
        <v>112</v>
      </c>
      <c r="L786" s="225" t="s">
        <v>112</v>
      </c>
      <c r="M786" s="225" t="s">
        <v>113</v>
      </c>
      <c r="N786" s="225" t="s">
        <v>114</v>
      </c>
      <c r="O786" s="226">
        <v>0</v>
      </c>
      <c r="P786" s="30">
        <v>8500000</v>
      </c>
      <c r="Q786" s="183">
        <f t="shared" si="227"/>
        <v>0.21705882352941178</v>
      </c>
      <c r="R786" s="171">
        <v>8500000</v>
      </c>
    </row>
    <row r="787" spans="1:18" s="177" customFormat="1">
      <c r="A787" s="79"/>
      <c r="B787" s="80"/>
      <c r="C787" s="79" t="s">
        <v>1715</v>
      </c>
      <c r="D787" s="28" t="s">
        <v>1003</v>
      </c>
      <c r="E787" s="29" t="s">
        <v>1713</v>
      </c>
      <c r="F787" s="227">
        <v>264325000</v>
      </c>
      <c r="G787" s="225" t="s">
        <v>48</v>
      </c>
      <c r="H787" s="225" t="s">
        <v>48</v>
      </c>
      <c r="I787" s="228">
        <v>264325000</v>
      </c>
      <c r="J787" s="228">
        <v>264325000</v>
      </c>
      <c r="K787" s="228">
        <v>50201160</v>
      </c>
      <c r="L787" s="228">
        <v>264325000</v>
      </c>
      <c r="M787" s="225" t="s">
        <v>113</v>
      </c>
      <c r="N787" s="228">
        <v>214123840</v>
      </c>
      <c r="O787" s="226">
        <v>1</v>
      </c>
      <c r="P787" s="165"/>
      <c r="Q787" s="183" t="e">
        <f t="shared" si="227"/>
        <v>#DIV/0!</v>
      </c>
      <c r="R787" s="360"/>
    </row>
    <row r="788" spans="1:18" s="177" customFormat="1">
      <c r="A788" s="79"/>
      <c r="B788" s="80"/>
      <c r="C788" s="79" t="s">
        <v>1715</v>
      </c>
      <c r="D788" s="28" t="s">
        <v>1086</v>
      </c>
      <c r="E788" s="29" t="s">
        <v>1087</v>
      </c>
      <c r="F788" s="227">
        <v>30000000</v>
      </c>
      <c r="G788" s="225" t="s">
        <v>48</v>
      </c>
      <c r="H788" s="225" t="s">
        <v>48</v>
      </c>
      <c r="I788" s="228">
        <v>30000000</v>
      </c>
      <c r="J788" s="228">
        <v>28958650</v>
      </c>
      <c r="K788" s="225" t="s">
        <v>112</v>
      </c>
      <c r="L788" s="228">
        <v>28958650</v>
      </c>
      <c r="M788" s="225" t="s">
        <v>113</v>
      </c>
      <c r="N788" s="225" t="s">
        <v>114</v>
      </c>
      <c r="O788" s="226">
        <v>0.96530000000000005</v>
      </c>
      <c r="P788" s="165"/>
      <c r="Q788" s="183" t="e">
        <f t="shared" si="227"/>
        <v>#DIV/0!</v>
      </c>
      <c r="R788" s="360"/>
    </row>
    <row r="789" spans="1:18" s="177" customFormat="1">
      <c r="A789" s="79"/>
      <c r="B789" s="80"/>
      <c r="C789" s="79" t="s">
        <v>1715</v>
      </c>
      <c r="D789" s="28" t="s">
        <v>1250</v>
      </c>
      <c r="E789" s="29" t="s">
        <v>1251</v>
      </c>
      <c r="F789" s="227">
        <v>30000000</v>
      </c>
      <c r="G789" s="225" t="s">
        <v>48</v>
      </c>
      <c r="H789" s="225" t="s">
        <v>48</v>
      </c>
      <c r="I789" s="228">
        <v>30000000</v>
      </c>
      <c r="J789" s="225" t="s">
        <v>305</v>
      </c>
      <c r="K789" s="225" t="s">
        <v>112</v>
      </c>
      <c r="L789" s="225" t="s">
        <v>112</v>
      </c>
      <c r="M789" s="225" t="s">
        <v>113</v>
      </c>
      <c r="N789" s="225" t="s">
        <v>114</v>
      </c>
      <c r="O789" s="226">
        <v>0</v>
      </c>
      <c r="P789" s="30"/>
      <c r="Q789" s="183" t="e">
        <f t="shared" si="227"/>
        <v>#DIV/0!</v>
      </c>
      <c r="R789" s="171"/>
    </row>
    <row r="790" spans="1:18" s="177" customFormat="1">
      <c r="A790" s="79"/>
      <c r="B790" s="80"/>
      <c r="C790" s="79"/>
      <c r="D790" s="28" t="s">
        <v>1224</v>
      </c>
      <c r="E790" s="29" t="s">
        <v>1225</v>
      </c>
      <c r="F790" s="30"/>
      <c r="G790" s="30"/>
      <c r="H790" s="30"/>
      <c r="I790" s="30"/>
      <c r="J790" s="30"/>
      <c r="K790" s="30"/>
      <c r="L790" s="30"/>
      <c r="M790" s="30"/>
      <c r="N790" s="30"/>
      <c r="O790" s="159"/>
      <c r="P790" s="165">
        <v>10000000</v>
      </c>
      <c r="Q790" s="183">
        <f>+(P790-I790)/P790</f>
        <v>1</v>
      </c>
      <c r="R790" s="360">
        <v>10000000</v>
      </c>
    </row>
    <row r="791" spans="1:18" s="177" customFormat="1">
      <c r="A791" s="79"/>
      <c r="B791" s="80"/>
      <c r="C791" s="79"/>
      <c r="D791" s="28" t="s">
        <v>423</v>
      </c>
      <c r="E791" s="29" t="s">
        <v>1478</v>
      </c>
      <c r="F791" s="30"/>
      <c r="G791" s="30"/>
      <c r="H791" s="30"/>
      <c r="I791" s="30"/>
      <c r="J791" s="30"/>
      <c r="K791" s="30"/>
      <c r="L791" s="30"/>
      <c r="M791" s="30"/>
      <c r="N791" s="30"/>
      <c r="O791" s="159"/>
      <c r="P791" s="171">
        <v>20000000</v>
      </c>
      <c r="Q791" s="183">
        <f>+(P791-I791)/P791</f>
        <v>1</v>
      </c>
      <c r="R791" s="171">
        <v>20000000</v>
      </c>
    </row>
    <row r="792" spans="1:18" s="175" customFormat="1">
      <c r="A792" s="89" t="s">
        <v>1717</v>
      </c>
      <c r="B792" s="90" t="s">
        <v>1718</v>
      </c>
      <c r="C792" s="91" t="s">
        <v>1719</v>
      </c>
      <c r="D792" s="92"/>
      <c r="E792" s="37" t="s">
        <v>1720</v>
      </c>
      <c r="F792" s="245">
        <v>5046500000</v>
      </c>
      <c r="G792" s="247">
        <v>203669834</v>
      </c>
      <c r="H792" s="247">
        <v>2065431213</v>
      </c>
      <c r="I792" s="247">
        <v>7111931213</v>
      </c>
      <c r="J792" s="247">
        <v>4585386105</v>
      </c>
      <c r="K792" s="247">
        <v>234174467</v>
      </c>
      <c r="L792" s="247">
        <v>3082290053</v>
      </c>
      <c r="M792" s="247">
        <v>84971483</v>
      </c>
      <c r="N792" s="247">
        <v>2563959777</v>
      </c>
      <c r="O792" s="248">
        <v>0.43340000000000001</v>
      </c>
      <c r="P792" s="93">
        <f>+P793+P797+P825+P829+P836</f>
        <v>9162475564</v>
      </c>
      <c r="Q792" s="183">
        <f t="shared" si="227"/>
        <v>0.22379807036612798</v>
      </c>
      <c r="R792" s="354">
        <f>+R793+R797+R825+R829+R836</f>
        <v>9162475564</v>
      </c>
    </row>
    <row r="793" spans="1:18">
      <c r="A793" s="94" t="s">
        <v>1721</v>
      </c>
      <c r="B793" s="16"/>
      <c r="C793" s="12" t="s">
        <v>1722</v>
      </c>
      <c r="D793" s="24"/>
      <c r="E793" s="11" t="s">
        <v>1723</v>
      </c>
      <c r="F793" s="211">
        <v>305771000</v>
      </c>
      <c r="G793" s="212" t="s">
        <v>35</v>
      </c>
      <c r="H793" s="212" t="s">
        <v>35</v>
      </c>
      <c r="I793" s="213">
        <v>305771000</v>
      </c>
      <c r="J793" s="213">
        <v>305771000</v>
      </c>
      <c r="K793" s="213">
        <v>21352500</v>
      </c>
      <c r="L793" s="213">
        <v>186478500</v>
      </c>
      <c r="M793" s="213">
        <v>21352500</v>
      </c>
      <c r="N793" s="213">
        <v>186478500</v>
      </c>
      <c r="O793" s="214">
        <v>0.6099</v>
      </c>
      <c r="P793" s="13">
        <f t="shared" ref="P793:P795" si="241">+P794</f>
        <v>344411936</v>
      </c>
      <c r="Q793" s="183">
        <f t="shared" si="227"/>
        <v>0.11219395137339258</v>
      </c>
      <c r="R793" s="349">
        <f>+R794</f>
        <v>344411936</v>
      </c>
    </row>
    <row r="794" spans="1:18">
      <c r="A794" s="72" t="s">
        <v>1724</v>
      </c>
      <c r="B794" s="73" t="s">
        <v>989</v>
      </c>
      <c r="C794" s="74" t="s">
        <v>1725</v>
      </c>
      <c r="D794" s="75"/>
      <c r="E794" s="20" t="s">
        <v>1726</v>
      </c>
      <c r="F794" s="206">
        <v>305771000</v>
      </c>
      <c r="G794" s="207" t="s">
        <v>35</v>
      </c>
      <c r="H794" s="207" t="s">
        <v>35</v>
      </c>
      <c r="I794" s="208">
        <v>305771000</v>
      </c>
      <c r="J794" s="208">
        <v>305771000</v>
      </c>
      <c r="K794" s="208">
        <v>21352500</v>
      </c>
      <c r="L794" s="208">
        <v>186478500</v>
      </c>
      <c r="M794" s="208">
        <v>21352500</v>
      </c>
      <c r="N794" s="208">
        <v>186478500</v>
      </c>
      <c r="O794" s="209">
        <v>0.6099</v>
      </c>
      <c r="P794" s="76">
        <f t="shared" si="241"/>
        <v>344411936</v>
      </c>
      <c r="Q794" s="183">
        <f t="shared" si="227"/>
        <v>0.11219395137339258</v>
      </c>
      <c r="R794" s="345">
        <f>+R795</f>
        <v>344411936</v>
      </c>
    </row>
    <row r="795" spans="1:18" s="176" customFormat="1">
      <c r="A795" s="101"/>
      <c r="B795" s="102" t="s">
        <v>1727</v>
      </c>
      <c r="C795" s="101" t="s">
        <v>1728</v>
      </c>
      <c r="D795" s="26"/>
      <c r="E795" s="23" t="s">
        <v>1729</v>
      </c>
      <c r="F795" s="216">
        <v>305771000</v>
      </c>
      <c r="G795" s="217" t="s">
        <v>48</v>
      </c>
      <c r="H795" s="217" t="s">
        <v>48</v>
      </c>
      <c r="I795" s="218">
        <v>305771000</v>
      </c>
      <c r="J795" s="218">
        <v>305771000</v>
      </c>
      <c r="K795" s="218">
        <v>21352500</v>
      </c>
      <c r="L795" s="218">
        <v>186478500</v>
      </c>
      <c r="M795" s="218">
        <v>21352500</v>
      </c>
      <c r="N795" s="218">
        <v>186478500</v>
      </c>
      <c r="O795" s="219">
        <v>0.6099</v>
      </c>
      <c r="P795" s="15">
        <f t="shared" si="241"/>
        <v>344411936</v>
      </c>
      <c r="Q795" s="183">
        <f t="shared" si="227"/>
        <v>0.11219395137339258</v>
      </c>
      <c r="R795" s="359">
        <f>+R796</f>
        <v>344411936</v>
      </c>
    </row>
    <row r="796" spans="1:18" s="177" customFormat="1">
      <c r="A796" s="79"/>
      <c r="B796" s="80"/>
      <c r="C796" s="79" t="s">
        <v>1728</v>
      </c>
      <c r="D796" s="28" t="s">
        <v>1730</v>
      </c>
      <c r="E796" s="29" t="s">
        <v>1731</v>
      </c>
      <c r="F796" s="227">
        <v>305771000</v>
      </c>
      <c r="G796" s="225" t="s">
        <v>48</v>
      </c>
      <c r="H796" s="225" t="s">
        <v>48</v>
      </c>
      <c r="I796" s="228">
        <v>305771000</v>
      </c>
      <c r="J796" s="228">
        <v>305771000</v>
      </c>
      <c r="K796" s="228">
        <v>21352500</v>
      </c>
      <c r="L796" s="228">
        <v>186478500</v>
      </c>
      <c r="M796" s="228">
        <v>21352500</v>
      </c>
      <c r="N796" s="228">
        <v>186478500</v>
      </c>
      <c r="O796" s="226">
        <v>0.6099</v>
      </c>
      <c r="P796" s="30">
        <v>344411936</v>
      </c>
      <c r="Q796" s="183">
        <f t="shared" si="227"/>
        <v>0.11219395137339258</v>
      </c>
      <c r="R796" s="171">
        <v>344411936</v>
      </c>
    </row>
    <row r="797" spans="1:18">
      <c r="A797" s="94" t="s">
        <v>1732</v>
      </c>
      <c r="B797" s="16" t="s">
        <v>1733</v>
      </c>
      <c r="C797" s="12" t="s">
        <v>1734</v>
      </c>
      <c r="D797" s="24"/>
      <c r="E797" s="11" t="s">
        <v>1735</v>
      </c>
      <c r="F797" s="211">
        <v>3969979000</v>
      </c>
      <c r="G797" s="213">
        <v>118827642</v>
      </c>
      <c r="H797" s="213">
        <v>1985676269</v>
      </c>
      <c r="I797" s="213">
        <v>5955655269</v>
      </c>
      <c r="J797" s="213">
        <v>3695039050</v>
      </c>
      <c r="K797" s="213">
        <v>188716569</v>
      </c>
      <c r="L797" s="213">
        <v>2554748239</v>
      </c>
      <c r="M797" s="213">
        <v>22706669</v>
      </c>
      <c r="N797" s="213">
        <v>2158848792</v>
      </c>
      <c r="O797" s="214">
        <v>0.42899999999999999</v>
      </c>
      <c r="P797" s="13">
        <f t="shared" ref="P797" si="242">+P798+P803</f>
        <v>7914385358</v>
      </c>
      <c r="Q797" s="183">
        <f t="shared" si="227"/>
        <v>0.24748985554766817</v>
      </c>
      <c r="R797" s="349">
        <f>+R798+R803</f>
        <v>7914385358</v>
      </c>
    </row>
    <row r="798" spans="1:18">
      <c r="A798" s="72" t="s">
        <v>1736</v>
      </c>
      <c r="B798" s="73" t="s">
        <v>989</v>
      </c>
      <c r="C798" s="74" t="s">
        <v>1737</v>
      </c>
      <c r="D798" s="75"/>
      <c r="E798" s="20" t="s">
        <v>1738</v>
      </c>
      <c r="F798" s="206">
        <v>349015000</v>
      </c>
      <c r="G798" s="208">
        <v>34749625</v>
      </c>
      <c r="H798" s="208">
        <v>34749625</v>
      </c>
      <c r="I798" s="208">
        <v>383764625</v>
      </c>
      <c r="J798" s="208">
        <v>123630000</v>
      </c>
      <c r="K798" s="207" t="s">
        <v>314</v>
      </c>
      <c r="L798" s="208">
        <v>123630000</v>
      </c>
      <c r="M798" s="207" t="s">
        <v>315</v>
      </c>
      <c r="N798" s="208">
        <v>49452000</v>
      </c>
      <c r="O798" s="209">
        <v>0.32219999999999999</v>
      </c>
      <c r="P798" s="76">
        <f t="shared" ref="P798" si="243">+P799+P801</f>
        <v>543260638</v>
      </c>
      <c r="Q798" s="183">
        <f t="shared" si="227"/>
        <v>0.29359022510296429</v>
      </c>
      <c r="R798" s="345">
        <f>+R799+R801</f>
        <v>543260638</v>
      </c>
    </row>
    <row r="799" spans="1:18" s="176" customFormat="1">
      <c r="A799" s="101"/>
      <c r="B799" s="102" t="s">
        <v>1739</v>
      </c>
      <c r="C799" s="101" t="s">
        <v>1740</v>
      </c>
      <c r="D799" s="26"/>
      <c r="E799" s="23" t="s">
        <v>1741</v>
      </c>
      <c r="F799" s="216">
        <v>349015000</v>
      </c>
      <c r="G799" s="217" t="s">
        <v>48</v>
      </c>
      <c r="H799" s="217" t="s">
        <v>48</v>
      </c>
      <c r="I799" s="218">
        <v>349015000</v>
      </c>
      <c r="J799" s="218">
        <v>123630000</v>
      </c>
      <c r="K799" s="217" t="s">
        <v>112</v>
      </c>
      <c r="L799" s="218">
        <v>123630000</v>
      </c>
      <c r="M799" s="217" t="s">
        <v>113</v>
      </c>
      <c r="N799" s="218">
        <v>49452000</v>
      </c>
      <c r="O799" s="219">
        <v>0.35420000000000001</v>
      </c>
      <c r="P799" s="15">
        <f t="shared" ref="P799" si="244">+P800</f>
        <v>375260638</v>
      </c>
      <c r="Q799" s="183">
        <f t="shared" si="227"/>
        <v>6.9939757443998163E-2</v>
      </c>
      <c r="R799" s="359">
        <f>+R800</f>
        <v>375260638</v>
      </c>
    </row>
    <row r="800" spans="1:18" s="177" customFormat="1">
      <c r="A800" s="79"/>
      <c r="B800" s="80"/>
      <c r="C800" s="79" t="s">
        <v>1740</v>
      </c>
      <c r="D800" s="28" t="s">
        <v>346</v>
      </c>
      <c r="E800" s="29" t="s">
        <v>347</v>
      </c>
      <c r="F800" s="227">
        <v>349015000</v>
      </c>
      <c r="G800" s="225" t="s">
        <v>48</v>
      </c>
      <c r="H800" s="225" t="s">
        <v>48</v>
      </c>
      <c r="I800" s="228">
        <v>349015000</v>
      </c>
      <c r="J800" s="228">
        <v>123630000</v>
      </c>
      <c r="K800" s="225" t="s">
        <v>112</v>
      </c>
      <c r="L800" s="228">
        <v>123630000</v>
      </c>
      <c r="M800" s="225" t="s">
        <v>113</v>
      </c>
      <c r="N800" s="228">
        <v>49452000</v>
      </c>
      <c r="O800" s="226">
        <v>0.35420000000000001</v>
      </c>
      <c r="P800" s="30">
        <v>375260638</v>
      </c>
      <c r="Q800" s="183">
        <f t="shared" si="227"/>
        <v>6.9939757443998163E-2</v>
      </c>
      <c r="R800" s="171">
        <v>375260638</v>
      </c>
    </row>
    <row r="801" spans="1:18" s="176" customFormat="1">
      <c r="A801" s="101"/>
      <c r="B801" s="102" t="s">
        <v>1742</v>
      </c>
      <c r="C801" s="101" t="s">
        <v>1743</v>
      </c>
      <c r="D801" s="26"/>
      <c r="E801" s="23" t="s">
        <v>1744</v>
      </c>
      <c r="F801" s="215" t="s">
        <v>304</v>
      </c>
      <c r="G801" s="218">
        <v>34749625</v>
      </c>
      <c r="H801" s="218">
        <v>34749625</v>
      </c>
      <c r="I801" s="218">
        <v>34749625</v>
      </c>
      <c r="J801" s="217" t="s">
        <v>305</v>
      </c>
      <c r="K801" s="217" t="s">
        <v>112</v>
      </c>
      <c r="L801" s="217" t="s">
        <v>112</v>
      </c>
      <c r="M801" s="217" t="s">
        <v>113</v>
      </c>
      <c r="N801" s="217" t="s">
        <v>114</v>
      </c>
      <c r="O801" s="219">
        <v>0</v>
      </c>
      <c r="P801" s="15">
        <f>+P802</f>
        <v>168000000</v>
      </c>
      <c r="Q801" s="183">
        <f t="shared" si="227"/>
        <v>0.79315699404761908</v>
      </c>
      <c r="R801" s="359">
        <f>+R802</f>
        <v>168000000</v>
      </c>
    </row>
    <row r="802" spans="1:18" s="176" customFormat="1">
      <c r="A802" s="178"/>
      <c r="B802" s="179"/>
      <c r="C802" s="178"/>
      <c r="D802" s="173" t="s">
        <v>1001</v>
      </c>
      <c r="E802" s="174" t="s">
        <v>1314</v>
      </c>
      <c r="F802" s="171"/>
      <c r="G802" s="171"/>
      <c r="H802" s="171"/>
      <c r="I802" s="171"/>
      <c r="J802" s="171"/>
      <c r="K802" s="171"/>
      <c r="L802" s="171"/>
      <c r="M802" s="171"/>
      <c r="N802" s="171"/>
      <c r="O802" s="180"/>
      <c r="P802" s="171">
        <v>168000000</v>
      </c>
      <c r="Q802" s="183">
        <f>+(P802-I802)/P802</f>
        <v>1</v>
      </c>
      <c r="R802" s="171">
        <v>168000000</v>
      </c>
    </row>
    <row r="803" spans="1:18">
      <c r="A803" s="72" t="s">
        <v>1745</v>
      </c>
      <c r="B803" s="73" t="s">
        <v>989</v>
      </c>
      <c r="C803" s="74" t="s">
        <v>1746</v>
      </c>
      <c r="D803" s="75"/>
      <c r="E803" s="20" t="s">
        <v>1747</v>
      </c>
      <c r="F803" s="260">
        <v>3620964000</v>
      </c>
      <c r="G803" s="262">
        <v>84078017</v>
      </c>
      <c r="H803" s="262">
        <v>1950926644</v>
      </c>
      <c r="I803" s="262">
        <v>5571890644</v>
      </c>
      <c r="J803" s="262">
        <v>3571409050</v>
      </c>
      <c r="K803" s="262">
        <v>188716569</v>
      </c>
      <c r="L803" s="262">
        <v>2431118239</v>
      </c>
      <c r="M803" s="262">
        <v>22706669</v>
      </c>
      <c r="N803" s="262">
        <v>2109396792</v>
      </c>
      <c r="O803" s="261">
        <v>3</v>
      </c>
      <c r="P803" s="76">
        <f>+P804+P806+P808+P810+P812+P814+P816+P818+P820+P824</f>
        <v>7371124720</v>
      </c>
      <c r="Q803" s="183">
        <f t="shared" si="227"/>
        <v>0.24409220361149989</v>
      </c>
      <c r="R803" s="345">
        <f>+R804+R806+R808+R810+R812+R814+R816+R818+R820+R824</f>
        <v>7371124720</v>
      </c>
    </row>
    <row r="804" spans="1:18" s="176" customFormat="1">
      <c r="A804" s="101"/>
      <c r="B804" s="102" t="s">
        <v>1748</v>
      </c>
      <c r="C804" s="101" t="s">
        <v>1749</v>
      </c>
      <c r="D804" s="26"/>
      <c r="E804" s="23" t="s">
        <v>1750</v>
      </c>
      <c r="F804" s="216">
        <v>1259698000</v>
      </c>
      <c r="G804" s="218">
        <v>41065300</v>
      </c>
      <c r="H804" s="218">
        <v>41065300</v>
      </c>
      <c r="I804" s="218">
        <v>1300763300</v>
      </c>
      <c r="J804" s="218">
        <v>707358000</v>
      </c>
      <c r="K804" s="218">
        <v>156585000</v>
      </c>
      <c r="L804" s="218">
        <v>707358000</v>
      </c>
      <c r="M804" s="217" t="s">
        <v>113</v>
      </c>
      <c r="N804" s="218">
        <v>550773000</v>
      </c>
      <c r="O804" s="219">
        <v>0.54379999999999995</v>
      </c>
      <c r="P804" s="15">
        <f t="shared" ref="P804" si="245">+P805</f>
        <v>1580000000</v>
      </c>
      <c r="Q804" s="183">
        <f t="shared" si="227"/>
        <v>0.17673208860759493</v>
      </c>
      <c r="R804" s="359">
        <f>+R805</f>
        <v>1580000000</v>
      </c>
    </row>
    <row r="805" spans="1:18" s="177" customFormat="1">
      <c r="A805" s="79"/>
      <c r="B805" s="80"/>
      <c r="C805" s="79" t="s">
        <v>1749</v>
      </c>
      <c r="D805" s="28" t="s">
        <v>1001</v>
      </c>
      <c r="E805" s="29" t="s">
        <v>1314</v>
      </c>
      <c r="F805" s="227">
        <v>1259698000</v>
      </c>
      <c r="G805" s="228">
        <v>41065300</v>
      </c>
      <c r="H805" s="228">
        <v>41065300</v>
      </c>
      <c r="I805" s="228">
        <v>1300763300</v>
      </c>
      <c r="J805" s="228">
        <v>707358000</v>
      </c>
      <c r="K805" s="228">
        <v>156585000</v>
      </c>
      <c r="L805" s="228">
        <v>707358000</v>
      </c>
      <c r="M805" s="225" t="s">
        <v>113</v>
      </c>
      <c r="N805" s="228">
        <v>550773000</v>
      </c>
      <c r="O805" s="226">
        <v>0.54379999999999995</v>
      </c>
      <c r="P805" s="30">
        <v>1580000000</v>
      </c>
      <c r="Q805" s="183">
        <f t="shared" si="227"/>
        <v>0.17673208860759493</v>
      </c>
      <c r="R805" s="171">
        <v>1580000000</v>
      </c>
    </row>
    <row r="806" spans="1:18" s="176" customFormat="1">
      <c r="A806" s="101"/>
      <c r="B806" s="102" t="s">
        <v>1751</v>
      </c>
      <c r="C806" s="101" t="s">
        <v>1752</v>
      </c>
      <c r="D806" s="26"/>
      <c r="E806" s="23" t="s">
        <v>1753</v>
      </c>
      <c r="F806" s="216">
        <v>57094000</v>
      </c>
      <c r="G806" s="217" t="s">
        <v>48</v>
      </c>
      <c r="H806" s="217" t="s">
        <v>48</v>
      </c>
      <c r="I806" s="218">
        <v>57094000</v>
      </c>
      <c r="J806" s="217" t="s">
        <v>305</v>
      </c>
      <c r="K806" s="217" t="s">
        <v>112</v>
      </c>
      <c r="L806" s="217" t="s">
        <v>112</v>
      </c>
      <c r="M806" s="217" t="s">
        <v>113</v>
      </c>
      <c r="N806" s="217" t="s">
        <v>114</v>
      </c>
      <c r="O806" s="219">
        <v>0</v>
      </c>
      <c r="P806" s="15">
        <f t="shared" ref="P806" si="246">+P807</f>
        <v>60000000</v>
      </c>
      <c r="Q806" s="183">
        <f t="shared" si="227"/>
        <v>4.8433333333333335E-2</v>
      </c>
      <c r="R806" s="359">
        <f>+R807</f>
        <v>60000000</v>
      </c>
    </row>
    <row r="807" spans="1:18" s="177" customFormat="1">
      <c r="A807" s="79"/>
      <c r="B807" s="80"/>
      <c r="C807" s="79" t="s">
        <v>1752</v>
      </c>
      <c r="D807" s="28" t="s">
        <v>1001</v>
      </c>
      <c r="E807" s="29" t="s">
        <v>1314</v>
      </c>
      <c r="F807" s="227">
        <v>57094000</v>
      </c>
      <c r="G807" s="225" t="s">
        <v>48</v>
      </c>
      <c r="H807" s="225" t="s">
        <v>48</v>
      </c>
      <c r="I807" s="228">
        <v>57094000</v>
      </c>
      <c r="J807" s="225" t="s">
        <v>305</v>
      </c>
      <c r="K807" s="225" t="s">
        <v>112</v>
      </c>
      <c r="L807" s="225" t="s">
        <v>112</v>
      </c>
      <c r="M807" s="225" t="s">
        <v>113</v>
      </c>
      <c r="N807" s="225" t="s">
        <v>114</v>
      </c>
      <c r="O807" s="226">
        <v>0</v>
      </c>
      <c r="P807" s="30">
        <v>60000000</v>
      </c>
      <c r="Q807" s="183">
        <f t="shared" si="227"/>
        <v>4.8433333333333335E-2</v>
      </c>
      <c r="R807" s="171">
        <v>60000000</v>
      </c>
    </row>
    <row r="808" spans="1:18" s="176" customFormat="1">
      <c r="A808" s="101"/>
      <c r="B808" s="102" t="s">
        <v>1754</v>
      </c>
      <c r="C808" s="101" t="s">
        <v>1755</v>
      </c>
      <c r="D808" s="26"/>
      <c r="E808" s="23" t="s">
        <v>1756</v>
      </c>
      <c r="F808" s="216">
        <v>477941000</v>
      </c>
      <c r="G808" s="217" t="s">
        <v>48</v>
      </c>
      <c r="H808" s="218">
        <v>3174912</v>
      </c>
      <c r="I808" s="218">
        <v>481115912</v>
      </c>
      <c r="J808" s="218">
        <v>336256866</v>
      </c>
      <c r="K808" s="218">
        <v>13126669</v>
      </c>
      <c r="L808" s="218">
        <v>312780216</v>
      </c>
      <c r="M808" s="218">
        <v>13126669</v>
      </c>
      <c r="N808" s="218">
        <v>157068669</v>
      </c>
      <c r="O808" s="219">
        <v>0.65010000000000001</v>
      </c>
      <c r="P808" s="15">
        <f t="shared" ref="P808" si="247">+P809</f>
        <v>502850654</v>
      </c>
      <c r="Q808" s="183">
        <f t="shared" si="227"/>
        <v>4.3223056044787406E-2</v>
      </c>
      <c r="R808" s="359">
        <f>+R809</f>
        <v>502850654</v>
      </c>
    </row>
    <row r="809" spans="1:18" s="177" customFormat="1">
      <c r="A809" s="79"/>
      <c r="B809" s="80"/>
      <c r="C809" s="79" t="s">
        <v>1755</v>
      </c>
      <c r="D809" s="28" t="s">
        <v>409</v>
      </c>
      <c r="E809" s="29" t="s">
        <v>1220</v>
      </c>
      <c r="F809" s="227">
        <v>477941000</v>
      </c>
      <c r="G809" s="225" t="s">
        <v>48</v>
      </c>
      <c r="H809" s="228">
        <v>3174912</v>
      </c>
      <c r="I809" s="228">
        <v>481115912</v>
      </c>
      <c r="J809" s="228">
        <v>336256866</v>
      </c>
      <c r="K809" s="228">
        <v>13126669</v>
      </c>
      <c r="L809" s="228">
        <v>312780216</v>
      </c>
      <c r="M809" s="228">
        <v>13126669</v>
      </c>
      <c r="N809" s="228">
        <v>157068669</v>
      </c>
      <c r="O809" s="226">
        <v>0.65010000000000001</v>
      </c>
      <c r="P809" s="30">
        <v>502850654</v>
      </c>
      <c r="Q809" s="183">
        <f t="shared" ref="Q809:Q878" si="248">+(P809-I809)/P809</f>
        <v>4.3223056044787406E-2</v>
      </c>
      <c r="R809" s="171">
        <v>502850654</v>
      </c>
    </row>
    <row r="810" spans="1:18" s="176" customFormat="1">
      <c r="A810" s="101"/>
      <c r="B810" s="102" t="s">
        <v>1757</v>
      </c>
      <c r="C810" s="101" t="s">
        <v>1758</v>
      </c>
      <c r="D810" s="26"/>
      <c r="E810" s="23" t="s">
        <v>1759</v>
      </c>
      <c r="F810" s="216">
        <v>93150000</v>
      </c>
      <c r="G810" s="217" t="s">
        <v>48</v>
      </c>
      <c r="H810" s="218">
        <v>732043443</v>
      </c>
      <c r="I810" s="218">
        <v>825193443</v>
      </c>
      <c r="J810" s="218">
        <v>362460720</v>
      </c>
      <c r="K810" s="217" t="s">
        <v>112</v>
      </c>
      <c r="L810" s="218">
        <v>327823740</v>
      </c>
      <c r="M810" s="217" t="s">
        <v>113</v>
      </c>
      <c r="N810" s="218">
        <v>327823740</v>
      </c>
      <c r="O810" s="219">
        <v>0.39729999999999999</v>
      </c>
      <c r="P810" s="15">
        <f t="shared" ref="P810" si="249">+P811</f>
        <v>1314963863</v>
      </c>
      <c r="Q810" s="183">
        <f t="shared" si="248"/>
        <v>0.37245922399922254</v>
      </c>
      <c r="R810" s="359">
        <f>+R811</f>
        <v>1314963863</v>
      </c>
    </row>
    <row r="811" spans="1:18" s="177" customFormat="1">
      <c r="A811" s="79"/>
      <c r="B811" s="80"/>
      <c r="C811" s="79" t="s">
        <v>1758</v>
      </c>
      <c r="D811" s="28" t="s">
        <v>397</v>
      </c>
      <c r="E811" s="29" t="s">
        <v>1217</v>
      </c>
      <c r="F811" s="227">
        <v>93150000</v>
      </c>
      <c r="G811" s="225" t="s">
        <v>48</v>
      </c>
      <c r="H811" s="228">
        <v>732043443</v>
      </c>
      <c r="I811" s="228">
        <v>825193443</v>
      </c>
      <c r="J811" s="228">
        <v>362460720</v>
      </c>
      <c r="K811" s="225" t="s">
        <v>112</v>
      </c>
      <c r="L811" s="228">
        <v>327823740</v>
      </c>
      <c r="M811" s="225" t="s">
        <v>113</v>
      </c>
      <c r="N811" s="228">
        <v>327823740</v>
      </c>
      <c r="O811" s="226">
        <v>0.39729999999999999</v>
      </c>
      <c r="P811" s="30">
        <v>1314963863</v>
      </c>
      <c r="Q811" s="183">
        <f t="shared" si="248"/>
        <v>0.37245922399922254</v>
      </c>
      <c r="R811" s="171">
        <v>1314963863</v>
      </c>
    </row>
    <row r="812" spans="1:18" s="176" customFormat="1">
      <c r="A812" s="101"/>
      <c r="B812" s="102" t="s">
        <v>1760</v>
      </c>
      <c r="C812" s="101" t="s">
        <v>1761</v>
      </c>
      <c r="D812" s="26"/>
      <c r="E812" s="23" t="s">
        <v>1762</v>
      </c>
      <c r="F812" s="216">
        <v>120012000</v>
      </c>
      <c r="G812" s="217" t="s">
        <v>48</v>
      </c>
      <c r="H812" s="218">
        <v>529988000</v>
      </c>
      <c r="I812" s="218">
        <v>650000000</v>
      </c>
      <c r="J812" s="218">
        <v>450770700</v>
      </c>
      <c r="K812" s="217" t="s">
        <v>112</v>
      </c>
      <c r="L812" s="218">
        <v>191268200</v>
      </c>
      <c r="M812" s="217" t="s">
        <v>113</v>
      </c>
      <c r="N812" s="218">
        <v>191268200</v>
      </c>
      <c r="O812" s="219">
        <v>0.29430000000000001</v>
      </c>
      <c r="P812" s="15">
        <f t="shared" ref="P812" si="250">+P813</f>
        <v>679380000</v>
      </c>
      <c r="Q812" s="183">
        <f t="shared" si="248"/>
        <v>4.3245311902028322E-2</v>
      </c>
      <c r="R812" s="359">
        <f>+R813</f>
        <v>679380000</v>
      </c>
    </row>
    <row r="813" spans="1:18" s="177" customFormat="1">
      <c r="A813" s="79"/>
      <c r="B813" s="80"/>
      <c r="C813" s="79" t="s">
        <v>1761</v>
      </c>
      <c r="D813" s="28" t="s">
        <v>393</v>
      </c>
      <c r="E813" s="29" t="s">
        <v>1216</v>
      </c>
      <c r="F813" s="227">
        <v>120012000</v>
      </c>
      <c r="G813" s="225" t="s">
        <v>48</v>
      </c>
      <c r="H813" s="228">
        <v>529988000</v>
      </c>
      <c r="I813" s="228">
        <v>650000000</v>
      </c>
      <c r="J813" s="228">
        <v>450770700</v>
      </c>
      <c r="K813" s="225" t="s">
        <v>112</v>
      </c>
      <c r="L813" s="228">
        <v>191268200</v>
      </c>
      <c r="M813" s="225" t="s">
        <v>113</v>
      </c>
      <c r="N813" s="228">
        <v>191268200</v>
      </c>
      <c r="O813" s="226">
        <v>0.29430000000000001</v>
      </c>
      <c r="P813" s="30">
        <v>679380000</v>
      </c>
      <c r="Q813" s="183">
        <f t="shared" si="248"/>
        <v>4.3245311902028322E-2</v>
      </c>
      <c r="R813" s="171">
        <v>679380000</v>
      </c>
    </row>
    <row r="814" spans="1:18" s="176" customFormat="1">
      <c r="A814" s="101"/>
      <c r="B814" s="102" t="s">
        <v>1763</v>
      </c>
      <c r="C814" s="101" t="s">
        <v>1764</v>
      </c>
      <c r="D814" s="26"/>
      <c r="E814" s="23" t="s">
        <v>1765</v>
      </c>
      <c r="F814" s="216">
        <v>1232337000</v>
      </c>
      <c r="G814" s="217" t="s">
        <v>48</v>
      </c>
      <c r="H814" s="218">
        <v>221569563</v>
      </c>
      <c r="I814" s="218">
        <v>1453906563</v>
      </c>
      <c r="J814" s="218">
        <v>1452452655</v>
      </c>
      <c r="K814" s="218">
        <v>11873100</v>
      </c>
      <c r="L814" s="218">
        <v>642025950</v>
      </c>
      <c r="M814" s="218">
        <v>2448200</v>
      </c>
      <c r="N814" s="218">
        <v>632601050</v>
      </c>
      <c r="O814" s="219">
        <v>0.44159999999999999</v>
      </c>
      <c r="P814" s="15">
        <f t="shared" ref="P814" si="251">+P815</f>
        <v>2112953467</v>
      </c>
      <c r="Q814" s="183">
        <f t="shared" si="248"/>
        <v>0.31190791197864082</v>
      </c>
      <c r="R814" s="359">
        <f>+R815</f>
        <v>2112953467</v>
      </c>
    </row>
    <row r="815" spans="1:18" s="177" customFormat="1">
      <c r="A815" s="79"/>
      <c r="B815" s="80"/>
      <c r="C815" s="79" t="s">
        <v>1764</v>
      </c>
      <c r="D815" s="28" t="s">
        <v>401</v>
      </c>
      <c r="E815" s="29" t="s">
        <v>1358</v>
      </c>
      <c r="F815" s="227">
        <v>1232337000</v>
      </c>
      <c r="G815" s="225" t="s">
        <v>48</v>
      </c>
      <c r="H815" s="228">
        <v>221569563</v>
      </c>
      <c r="I815" s="228">
        <v>1453906563</v>
      </c>
      <c r="J815" s="228">
        <v>1452452655</v>
      </c>
      <c r="K815" s="228">
        <v>11873100</v>
      </c>
      <c r="L815" s="228">
        <v>642025950</v>
      </c>
      <c r="M815" s="228">
        <v>2448200</v>
      </c>
      <c r="N815" s="228">
        <v>632601050</v>
      </c>
      <c r="O815" s="226">
        <v>0.44159999999999999</v>
      </c>
      <c r="P815" s="30">
        <v>2112953467</v>
      </c>
      <c r="Q815" s="183">
        <f t="shared" si="248"/>
        <v>0.31190791197864082</v>
      </c>
      <c r="R815" s="171">
        <v>2112953467</v>
      </c>
    </row>
    <row r="816" spans="1:18" s="176" customFormat="1">
      <c r="A816" s="101"/>
      <c r="B816" s="102" t="s">
        <v>1766</v>
      </c>
      <c r="C816" s="101" t="s">
        <v>1767</v>
      </c>
      <c r="D816" s="26"/>
      <c r="E816" s="23" t="s">
        <v>1768</v>
      </c>
      <c r="F816" s="216">
        <v>64604000</v>
      </c>
      <c r="G816" s="217" t="s">
        <v>48</v>
      </c>
      <c r="H816" s="218">
        <v>214970331</v>
      </c>
      <c r="I816" s="218">
        <v>279574331</v>
      </c>
      <c r="J816" s="218">
        <v>88149138</v>
      </c>
      <c r="K816" s="217" t="s">
        <v>112</v>
      </c>
      <c r="L816" s="218">
        <v>88149138</v>
      </c>
      <c r="M816" s="217" t="s">
        <v>113</v>
      </c>
      <c r="N816" s="218">
        <v>88149138</v>
      </c>
      <c r="O816" s="219">
        <v>0.31530000000000002</v>
      </c>
      <c r="P816" s="15">
        <f t="shared" ref="P816" si="252">+P817</f>
        <v>360000000</v>
      </c>
      <c r="Q816" s="183">
        <f t="shared" si="248"/>
        <v>0.22340463611111111</v>
      </c>
      <c r="R816" s="359">
        <f>+R817</f>
        <v>360000000</v>
      </c>
    </row>
    <row r="817" spans="1:18" s="177" customFormat="1">
      <c r="A817" s="79"/>
      <c r="B817" s="80"/>
      <c r="C817" s="79" t="s">
        <v>1767</v>
      </c>
      <c r="D817" s="28" t="s">
        <v>405</v>
      </c>
      <c r="E817" s="29" t="s">
        <v>1219</v>
      </c>
      <c r="F817" s="227">
        <v>64604000</v>
      </c>
      <c r="G817" s="225" t="s">
        <v>48</v>
      </c>
      <c r="H817" s="228">
        <v>214970331</v>
      </c>
      <c r="I817" s="228">
        <v>279574331</v>
      </c>
      <c r="J817" s="228">
        <v>88149138</v>
      </c>
      <c r="K817" s="225" t="s">
        <v>112</v>
      </c>
      <c r="L817" s="228">
        <v>88149138</v>
      </c>
      <c r="M817" s="225" t="s">
        <v>113</v>
      </c>
      <c r="N817" s="228">
        <v>88149138</v>
      </c>
      <c r="O817" s="226">
        <v>0.31530000000000002</v>
      </c>
      <c r="P817" s="30">
        <v>360000000</v>
      </c>
      <c r="Q817" s="183">
        <f t="shared" si="248"/>
        <v>0.22340463611111111</v>
      </c>
      <c r="R817" s="171">
        <v>360000000</v>
      </c>
    </row>
    <row r="818" spans="1:18" s="176" customFormat="1">
      <c r="A818" s="101"/>
      <c r="B818" s="102" t="s">
        <v>1769</v>
      </c>
      <c r="C818" s="101" t="s">
        <v>1770</v>
      </c>
      <c r="D818" s="26"/>
      <c r="E818" s="23" t="s">
        <v>1771</v>
      </c>
      <c r="F818" s="272">
        <v>316128000</v>
      </c>
      <c r="G818" s="255" t="s">
        <v>48</v>
      </c>
      <c r="H818" s="273">
        <v>165102378</v>
      </c>
      <c r="I818" s="273">
        <v>481230378</v>
      </c>
      <c r="J818" s="273">
        <v>173960971</v>
      </c>
      <c r="K818" s="273">
        <v>7131800</v>
      </c>
      <c r="L818" s="273">
        <v>161712995</v>
      </c>
      <c r="M818" s="273">
        <v>7131800</v>
      </c>
      <c r="N818" s="273">
        <v>161712995</v>
      </c>
      <c r="O818" s="274">
        <v>0.33600000000000002</v>
      </c>
      <c r="P818" s="15">
        <f t="shared" ref="G818:P818" si="253">+P819</f>
        <v>760976736</v>
      </c>
      <c r="Q818" s="183">
        <f t="shared" si="248"/>
        <v>0.36761486227615769</v>
      </c>
      <c r="R818" s="359">
        <f>+R819</f>
        <v>760976736</v>
      </c>
    </row>
    <row r="819" spans="1:18" s="177" customFormat="1">
      <c r="A819" s="79"/>
      <c r="B819" s="80"/>
      <c r="C819" s="79" t="s">
        <v>1770</v>
      </c>
      <c r="D819" s="28" t="s">
        <v>419</v>
      </c>
      <c r="E819" s="29" t="s">
        <v>1221</v>
      </c>
      <c r="F819" s="227">
        <v>316128000</v>
      </c>
      <c r="G819" s="225" t="s">
        <v>48</v>
      </c>
      <c r="H819" s="228">
        <v>165102378</v>
      </c>
      <c r="I819" s="228">
        <v>481230378</v>
      </c>
      <c r="J819" s="228">
        <v>173960971</v>
      </c>
      <c r="K819" s="228">
        <v>7131800</v>
      </c>
      <c r="L819" s="228">
        <v>161712995</v>
      </c>
      <c r="M819" s="228">
        <v>7131800</v>
      </c>
      <c r="N819" s="228">
        <v>161712995</v>
      </c>
      <c r="O819" s="226">
        <v>0.33600000000000002</v>
      </c>
      <c r="P819" s="30">
        <v>760976736</v>
      </c>
      <c r="Q819" s="183">
        <f t="shared" si="248"/>
        <v>0.36761486227615769</v>
      </c>
      <c r="R819" s="171">
        <v>760976736</v>
      </c>
    </row>
    <row r="820" spans="1:18" s="176" customFormat="1">
      <c r="A820" s="101"/>
      <c r="B820" s="102"/>
      <c r="C820" s="101" t="s">
        <v>1772</v>
      </c>
      <c r="D820" s="26"/>
      <c r="E820" s="23" t="s">
        <v>1773</v>
      </c>
      <c r="F820" s="215" t="s">
        <v>304</v>
      </c>
      <c r="G820" s="217" t="s">
        <v>48</v>
      </c>
      <c r="H820" s="217" t="s">
        <v>48</v>
      </c>
      <c r="I820" s="217" t="s">
        <v>304</v>
      </c>
      <c r="J820" s="217" t="s">
        <v>305</v>
      </c>
      <c r="K820" s="217" t="s">
        <v>112</v>
      </c>
      <c r="L820" s="217" t="s">
        <v>112</v>
      </c>
      <c r="M820" s="217" t="s">
        <v>113</v>
      </c>
      <c r="N820" s="217" t="s">
        <v>114</v>
      </c>
      <c r="O820" s="219">
        <v>0</v>
      </c>
      <c r="P820" s="217">
        <f t="shared" ref="G820:P820" si="254">+P821</f>
        <v>0</v>
      </c>
      <c r="Q820" s="183" t="e">
        <f t="shared" si="248"/>
        <v>#VALUE!</v>
      </c>
      <c r="R820" s="359">
        <f>+R821</f>
        <v>0</v>
      </c>
    </row>
    <row r="821" spans="1:18" s="177" customFormat="1">
      <c r="A821" s="79"/>
      <c r="B821" s="80"/>
      <c r="C821" s="79" t="s">
        <v>1772</v>
      </c>
      <c r="D821" s="28" t="s">
        <v>423</v>
      </c>
      <c r="E821" s="29" t="s">
        <v>1478</v>
      </c>
      <c r="F821" s="224" t="s">
        <v>304</v>
      </c>
      <c r="G821" s="225" t="s">
        <v>48</v>
      </c>
      <c r="H821" s="225" t="s">
        <v>48</v>
      </c>
      <c r="I821" s="225" t="s">
        <v>304</v>
      </c>
      <c r="J821" s="225" t="s">
        <v>305</v>
      </c>
      <c r="K821" s="225" t="s">
        <v>112</v>
      </c>
      <c r="L821" s="225" t="s">
        <v>112</v>
      </c>
      <c r="M821" s="225" t="s">
        <v>113</v>
      </c>
      <c r="N821" s="225" t="s">
        <v>114</v>
      </c>
      <c r="O821" s="226">
        <v>0</v>
      </c>
      <c r="P821" s="225"/>
      <c r="Q821" s="183" t="e">
        <f t="shared" si="248"/>
        <v>#VALUE!</v>
      </c>
      <c r="R821" s="171"/>
    </row>
    <row r="822" spans="1:18" s="177" customFormat="1">
      <c r="A822" s="79"/>
      <c r="B822" s="80"/>
      <c r="C822" s="286" t="s">
        <v>1774</v>
      </c>
      <c r="D822" s="287" t="s">
        <v>1775</v>
      </c>
      <c r="E822" s="287" t="s">
        <v>1776</v>
      </c>
      <c r="F822" s="255" t="s">
        <v>304</v>
      </c>
      <c r="G822" s="273">
        <v>43012717</v>
      </c>
      <c r="H822" s="273">
        <v>43012717</v>
      </c>
      <c r="I822" s="273">
        <v>43012717</v>
      </c>
      <c r="J822" s="255" t="s">
        <v>305</v>
      </c>
      <c r="K822" s="255" t="s">
        <v>112</v>
      </c>
      <c r="L822" s="255" t="s">
        <v>112</v>
      </c>
      <c r="M822" s="255" t="s">
        <v>113</v>
      </c>
      <c r="N822" s="255" t="s">
        <v>114</v>
      </c>
      <c r="O822" s="274">
        <v>0</v>
      </c>
      <c r="P822" s="255"/>
      <c r="Q822" s="183" t="e">
        <f t="shared" si="248"/>
        <v>#DIV/0!</v>
      </c>
      <c r="R822" s="171"/>
    </row>
    <row r="823" spans="1:18" s="177" customFormat="1">
      <c r="A823" s="79"/>
      <c r="B823" s="80"/>
      <c r="C823" s="224" t="s">
        <v>1777</v>
      </c>
      <c r="D823" s="225" t="s">
        <v>1022</v>
      </c>
      <c r="E823" s="225" t="s">
        <v>1023</v>
      </c>
      <c r="F823" s="284" t="s">
        <v>304</v>
      </c>
      <c r="G823" s="228">
        <v>43012717</v>
      </c>
      <c r="H823" s="228">
        <v>43012717</v>
      </c>
      <c r="I823" s="228">
        <v>43012717</v>
      </c>
      <c r="J823" s="225" t="s">
        <v>305</v>
      </c>
      <c r="K823" s="225" t="s">
        <v>112</v>
      </c>
      <c r="L823" s="225" t="s">
        <v>112</v>
      </c>
      <c r="M823" s="225" t="s">
        <v>113</v>
      </c>
      <c r="N823" s="225" t="s">
        <v>114</v>
      </c>
      <c r="O823" s="285">
        <v>0</v>
      </c>
      <c r="P823" s="225">
        <v>118272000</v>
      </c>
      <c r="Q823" s="183">
        <f t="shared" si="248"/>
        <v>0.63632375372023808</v>
      </c>
      <c r="R823" s="171"/>
    </row>
    <row r="824" spans="1:18" s="176" customFormat="1">
      <c r="A824" s="101"/>
      <c r="B824" s="102" t="s">
        <v>1778</v>
      </c>
      <c r="C824" s="101" t="s">
        <v>1779</v>
      </c>
      <c r="D824" s="26"/>
      <c r="E824" s="23" t="s">
        <v>1780</v>
      </c>
      <c r="F824" s="254" t="s">
        <v>304</v>
      </c>
      <c r="G824" s="255" t="s">
        <v>48</v>
      </c>
      <c r="H824" s="255" t="s">
        <v>48</v>
      </c>
      <c r="I824" s="255" t="s">
        <v>304</v>
      </c>
      <c r="J824" s="255" t="s">
        <v>305</v>
      </c>
      <c r="K824" s="255" t="s">
        <v>112</v>
      </c>
      <c r="L824" s="255" t="s">
        <v>112</v>
      </c>
      <c r="M824" s="255" t="s">
        <v>113</v>
      </c>
      <c r="N824" s="255" t="s">
        <v>114</v>
      </c>
      <c r="O824" s="274">
        <v>0</v>
      </c>
      <c r="P824" s="255"/>
      <c r="Q824" s="183" t="e">
        <f t="shared" si="248"/>
        <v>#VALUE!</v>
      </c>
      <c r="R824" s="359"/>
    </row>
    <row r="825" spans="1:18">
      <c r="A825" s="94" t="s">
        <v>1781</v>
      </c>
      <c r="B825" s="16" t="s">
        <v>1782</v>
      </c>
      <c r="C825" s="12" t="s">
        <v>1783</v>
      </c>
      <c r="D825" s="24"/>
      <c r="E825" s="11" t="s">
        <v>1784</v>
      </c>
      <c r="F825" s="268">
        <v>284599000</v>
      </c>
      <c r="G825" s="269" t="s">
        <v>35</v>
      </c>
      <c r="H825" s="270">
        <v>-10000000</v>
      </c>
      <c r="I825" s="270">
        <v>274599000</v>
      </c>
      <c r="J825" s="270">
        <v>108518970</v>
      </c>
      <c r="K825" s="269" t="s">
        <v>314</v>
      </c>
      <c r="L825" s="270">
        <v>88518970</v>
      </c>
      <c r="M825" s="269" t="s">
        <v>315</v>
      </c>
      <c r="N825" s="269" t="s">
        <v>448</v>
      </c>
      <c r="O825" s="271">
        <v>0.32240000000000002</v>
      </c>
      <c r="P825" s="13">
        <f t="shared" ref="G825:P827" si="255">+P826</f>
        <v>389940000</v>
      </c>
      <c r="Q825" s="183">
        <f t="shared" si="248"/>
        <v>0.29579166025542392</v>
      </c>
      <c r="R825" s="349">
        <f>+R826</f>
        <v>389940000</v>
      </c>
    </row>
    <row r="826" spans="1:18">
      <c r="A826" s="72" t="s">
        <v>1785</v>
      </c>
      <c r="B826" s="73" t="s">
        <v>989</v>
      </c>
      <c r="C826" s="74" t="s">
        <v>1786</v>
      </c>
      <c r="D826" s="75"/>
      <c r="E826" s="20" t="s">
        <v>1787</v>
      </c>
      <c r="F826" s="206">
        <v>284599000</v>
      </c>
      <c r="G826" s="207" t="s">
        <v>35</v>
      </c>
      <c r="H826" s="208">
        <v>-10000000</v>
      </c>
      <c r="I826" s="208">
        <v>274599000</v>
      </c>
      <c r="J826" s="208">
        <v>108518970</v>
      </c>
      <c r="K826" s="207" t="s">
        <v>314</v>
      </c>
      <c r="L826" s="208">
        <v>88518970</v>
      </c>
      <c r="M826" s="207" t="s">
        <v>315</v>
      </c>
      <c r="N826" s="207" t="s">
        <v>448</v>
      </c>
      <c r="O826" s="209">
        <v>0.32240000000000002</v>
      </c>
      <c r="P826" s="76">
        <f t="shared" si="255"/>
        <v>389940000</v>
      </c>
      <c r="Q826" s="183">
        <f t="shared" si="248"/>
        <v>0.29579166025542392</v>
      </c>
      <c r="R826" s="345">
        <f>+R827</f>
        <v>389940000</v>
      </c>
    </row>
    <row r="827" spans="1:18" s="176" customFormat="1">
      <c r="A827" s="101"/>
      <c r="B827" s="102" t="s">
        <v>1788</v>
      </c>
      <c r="C827" s="101" t="s">
        <v>1789</v>
      </c>
      <c r="D827" s="26"/>
      <c r="E827" s="23" t="s">
        <v>1790</v>
      </c>
      <c r="F827" s="216">
        <v>284599000</v>
      </c>
      <c r="G827" s="217" t="s">
        <v>48</v>
      </c>
      <c r="H827" s="218">
        <v>-10000000</v>
      </c>
      <c r="I827" s="218">
        <v>274599000</v>
      </c>
      <c r="J827" s="218">
        <v>108518970</v>
      </c>
      <c r="K827" s="217" t="s">
        <v>112</v>
      </c>
      <c r="L827" s="218">
        <v>88518970</v>
      </c>
      <c r="M827" s="217" t="s">
        <v>113</v>
      </c>
      <c r="N827" s="217" t="s">
        <v>114</v>
      </c>
      <c r="O827" s="219">
        <v>0.32240000000000002</v>
      </c>
      <c r="P827" s="15">
        <f t="shared" si="255"/>
        <v>389940000</v>
      </c>
      <c r="Q827" s="183">
        <f t="shared" si="248"/>
        <v>0.29579166025542392</v>
      </c>
      <c r="R827" s="359">
        <f>+R828</f>
        <v>389940000</v>
      </c>
    </row>
    <row r="828" spans="1:18" s="177" customFormat="1">
      <c r="A828" s="79"/>
      <c r="B828" s="80"/>
      <c r="C828" s="79" t="s">
        <v>1789</v>
      </c>
      <c r="D828" s="28" t="s">
        <v>346</v>
      </c>
      <c r="E828" s="29" t="s">
        <v>347</v>
      </c>
      <c r="F828" s="227">
        <v>284599000</v>
      </c>
      <c r="G828" s="225" t="s">
        <v>48</v>
      </c>
      <c r="H828" s="228">
        <v>-10000000</v>
      </c>
      <c r="I828" s="228">
        <v>274599000</v>
      </c>
      <c r="J828" s="228">
        <v>108518970</v>
      </c>
      <c r="K828" s="225" t="s">
        <v>112</v>
      </c>
      <c r="L828" s="228">
        <v>88518970</v>
      </c>
      <c r="M828" s="225" t="s">
        <v>113</v>
      </c>
      <c r="N828" s="225" t="s">
        <v>114</v>
      </c>
      <c r="O828" s="226">
        <v>0.32240000000000002</v>
      </c>
      <c r="P828" s="30">
        <f>30000000+20000000+28650000+30400000+142790000+138100000</f>
        <v>389940000</v>
      </c>
      <c r="Q828" s="183">
        <f t="shared" si="248"/>
        <v>0.29579166025542392</v>
      </c>
      <c r="R828" s="171">
        <f>30000000+20000000+28650000+30400000+142790000+138100000</f>
        <v>389940000</v>
      </c>
    </row>
    <row r="829" spans="1:18">
      <c r="A829" s="94" t="s">
        <v>1791</v>
      </c>
      <c r="B829" s="16" t="s">
        <v>1792</v>
      </c>
      <c r="C829" s="12" t="s">
        <v>1793</v>
      </c>
      <c r="D829" s="24"/>
      <c r="E829" s="11" t="s">
        <v>1794</v>
      </c>
      <c r="F829" s="211">
        <v>467651000</v>
      </c>
      <c r="G829" s="213">
        <v>84842192</v>
      </c>
      <c r="H829" s="213">
        <v>89754944</v>
      </c>
      <c r="I829" s="213">
        <v>557405944</v>
      </c>
      <c r="J829" s="213">
        <v>457563752</v>
      </c>
      <c r="K829" s="213">
        <v>24105398</v>
      </c>
      <c r="L829" s="213">
        <v>234051011</v>
      </c>
      <c r="M829" s="213">
        <v>40912314</v>
      </c>
      <c r="N829" s="213">
        <v>218632485</v>
      </c>
      <c r="O829" s="214">
        <v>0.4199</v>
      </c>
      <c r="P829" s="13">
        <f t="shared" ref="G829:P829" si="256">+P830+P832+P834</f>
        <v>490738270</v>
      </c>
      <c r="Q829" s="183">
        <f t="shared" si="248"/>
        <v>-0.13585179325834931</v>
      </c>
      <c r="R829" s="349">
        <f>+R830+R832+R834</f>
        <v>490738270</v>
      </c>
    </row>
    <row r="830" spans="1:18" s="176" customFormat="1">
      <c r="A830" s="101" t="s">
        <v>1795</v>
      </c>
      <c r="B830" s="102" t="s">
        <v>1796</v>
      </c>
      <c r="C830" s="101" t="s">
        <v>1797</v>
      </c>
      <c r="D830" s="26"/>
      <c r="E830" s="23" t="s">
        <v>1798</v>
      </c>
      <c r="F830" s="216">
        <v>232045000</v>
      </c>
      <c r="G830" s="218">
        <v>84842192</v>
      </c>
      <c r="H830" s="218">
        <v>84842192</v>
      </c>
      <c r="I830" s="218">
        <v>316887192</v>
      </c>
      <c r="J830" s="218">
        <v>232045000</v>
      </c>
      <c r="K830" s="218">
        <v>23318238</v>
      </c>
      <c r="L830" s="218">
        <v>173063875</v>
      </c>
      <c r="M830" s="218">
        <v>37916593</v>
      </c>
      <c r="N830" s="218">
        <v>172887202</v>
      </c>
      <c r="O830" s="219">
        <v>0.54610000000000003</v>
      </c>
      <c r="P830" s="15">
        <f t="shared" ref="G830:P830" si="257">+P831</f>
        <v>275880000</v>
      </c>
      <c r="Q830" s="183">
        <f t="shared" si="248"/>
        <v>-0.14864140930839495</v>
      </c>
      <c r="R830" s="359">
        <f>+R831</f>
        <v>275880000</v>
      </c>
    </row>
    <row r="831" spans="1:18" s="177" customFormat="1">
      <c r="A831" s="79"/>
      <c r="B831" s="80"/>
      <c r="C831" s="79" t="s">
        <v>1797</v>
      </c>
      <c r="D831" s="28" t="s">
        <v>1101</v>
      </c>
      <c r="E831" s="29" t="s">
        <v>1102</v>
      </c>
      <c r="F831" s="227">
        <v>232045000</v>
      </c>
      <c r="G831" s="228">
        <v>84842192</v>
      </c>
      <c r="H831" s="228">
        <v>84842192</v>
      </c>
      <c r="I831" s="228">
        <v>316887192</v>
      </c>
      <c r="J831" s="228">
        <v>232045000</v>
      </c>
      <c r="K831" s="228">
        <v>23318238</v>
      </c>
      <c r="L831" s="228">
        <v>173063875</v>
      </c>
      <c r="M831" s="228">
        <v>37916593</v>
      </c>
      <c r="N831" s="228">
        <v>172887202</v>
      </c>
      <c r="O831" s="226">
        <v>0.54610000000000003</v>
      </c>
      <c r="P831" s="30">
        <v>275880000</v>
      </c>
      <c r="Q831" s="183">
        <f t="shared" si="248"/>
        <v>-0.14864140930839495</v>
      </c>
      <c r="R831" s="171">
        <v>275880000</v>
      </c>
    </row>
    <row r="832" spans="1:18" s="176" customFormat="1">
      <c r="A832" s="101" t="s">
        <v>1799</v>
      </c>
      <c r="B832" s="102" t="s">
        <v>1800</v>
      </c>
      <c r="C832" s="101" t="s">
        <v>1801</v>
      </c>
      <c r="D832" s="26"/>
      <c r="E832" s="23" t="s">
        <v>1802</v>
      </c>
      <c r="F832" s="216">
        <v>30000000</v>
      </c>
      <c r="G832" s="217" t="s">
        <v>48</v>
      </c>
      <c r="H832" s="218">
        <v>4912752</v>
      </c>
      <c r="I832" s="218">
        <v>34912752</v>
      </c>
      <c r="J832" s="218">
        <v>19912752</v>
      </c>
      <c r="K832" s="217" t="s">
        <v>112</v>
      </c>
      <c r="L832" s="218">
        <v>19912752</v>
      </c>
      <c r="M832" s="218">
        <v>2226801</v>
      </c>
      <c r="N832" s="218">
        <v>7139553</v>
      </c>
      <c r="O832" s="219">
        <v>0.57040000000000002</v>
      </c>
      <c r="P832" s="15">
        <f t="shared" ref="G832:P832" si="258">SUM(P833:P833)</f>
        <v>0</v>
      </c>
      <c r="Q832" s="183" t="e">
        <f t="shared" si="248"/>
        <v>#DIV/0!</v>
      </c>
      <c r="R832" s="359">
        <f>SUM(R833:R833)</f>
        <v>0</v>
      </c>
    </row>
    <row r="833" spans="1:18" s="177" customFormat="1">
      <c r="A833" s="79"/>
      <c r="B833" s="80"/>
      <c r="C833" s="79" t="s">
        <v>1801</v>
      </c>
      <c r="D833" s="28" t="s">
        <v>1440</v>
      </c>
      <c r="E833" s="29" t="s">
        <v>1441</v>
      </c>
      <c r="F833" s="227">
        <v>30000000</v>
      </c>
      <c r="G833" s="225" t="s">
        <v>48</v>
      </c>
      <c r="H833" s="228">
        <v>4912752</v>
      </c>
      <c r="I833" s="228">
        <v>34912752</v>
      </c>
      <c r="J833" s="228">
        <v>19912752</v>
      </c>
      <c r="K833" s="225" t="s">
        <v>112</v>
      </c>
      <c r="L833" s="228">
        <v>19912752</v>
      </c>
      <c r="M833" s="228">
        <v>2226801</v>
      </c>
      <c r="N833" s="228">
        <v>7139553</v>
      </c>
      <c r="O833" s="226">
        <v>0.57040000000000002</v>
      </c>
      <c r="P833" s="30"/>
      <c r="Q833" s="183" t="e">
        <f t="shared" si="248"/>
        <v>#DIV/0!</v>
      </c>
      <c r="R833" s="171"/>
    </row>
    <row r="834" spans="1:18" s="176" customFormat="1">
      <c r="A834" s="101" t="s">
        <v>1803</v>
      </c>
      <c r="B834" s="102" t="s">
        <v>1804</v>
      </c>
      <c r="C834" s="101" t="s">
        <v>1805</v>
      </c>
      <c r="D834" s="26"/>
      <c r="E834" s="23" t="s">
        <v>1806</v>
      </c>
      <c r="F834" s="216">
        <v>205606000</v>
      </c>
      <c r="G834" s="217" t="s">
        <v>48</v>
      </c>
      <c r="H834" s="217" t="s">
        <v>48</v>
      </c>
      <c r="I834" s="218">
        <v>205606000</v>
      </c>
      <c r="J834" s="218">
        <v>205606000</v>
      </c>
      <c r="K834" s="218">
        <v>787160</v>
      </c>
      <c r="L834" s="218">
        <v>41074384</v>
      </c>
      <c r="M834" s="218">
        <v>768920</v>
      </c>
      <c r="N834" s="218">
        <v>38605730</v>
      </c>
      <c r="O834" s="219">
        <v>0.19980000000000001</v>
      </c>
      <c r="P834" s="15">
        <f t="shared" ref="G834:P834" si="259">+P835</f>
        <v>214858270</v>
      </c>
      <c r="Q834" s="183">
        <f t="shared" si="248"/>
        <v>4.3062200956937802E-2</v>
      </c>
      <c r="R834" s="359">
        <f>+R835</f>
        <v>214858270</v>
      </c>
    </row>
    <row r="835" spans="1:18" s="177" customFormat="1">
      <c r="A835" s="79"/>
      <c r="B835" s="80"/>
      <c r="C835" s="79" t="s">
        <v>1805</v>
      </c>
      <c r="D835" s="28" t="s">
        <v>1101</v>
      </c>
      <c r="E835" s="29" t="s">
        <v>1102</v>
      </c>
      <c r="F835" s="227">
        <v>205606000</v>
      </c>
      <c r="G835" s="225" t="s">
        <v>48</v>
      </c>
      <c r="H835" s="225" t="s">
        <v>48</v>
      </c>
      <c r="I835" s="228">
        <v>205606000</v>
      </c>
      <c r="J835" s="228">
        <v>205606000</v>
      </c>
      <c r="K835" s="228">
        <v>787160</v>
      </c>
      <c r="L835" s="228">
        <v>41074384</v>
      </c>
      <c r="M835" s="228">
        <v>768920</v>
      </c>
      <c r="N835" s="228">
        <v>38605730</v>
      </c>
      <c r="O835" s="226">
        <v>0.19980000000000001</v>
      </c>
      <c r="P835" s="30">
        <v>214858270</v>
      </c>
      <c r="Q835" s="183">
        <f t="shared" si="248"/>
        <v>4.3062200956937802E-2</v>
      </c>
      <c r="R835" s="171">
        <v>214858270</v>
      </c>
    </row>
    <row r="836" spans="1:18">
      <c r="A836" s="94" t="s">
        <v>1807</v>
      </c>
      <c r="B836" s="16" t="s">
        <v>1808</v>
      </c>
      <c r="C836" s="12" t="s">
        <v>1809</v>
      </c>
      <c r="D836" s="24"/>
      <c r="E836" s="11" t="s">
        <v>1810</v>
      </c>
      <c r="F836" s="211">
        <v>18500000</v>
      </c>
      <c r="G836" s="212" t="s">
        <v>35</v>
      </c>
      <c r="H836" s="212" t="s">
        <v>35</v>
      </c>
      <c r="I836" s="213">
        <v>18500000</v>
      </c>
      <c r="J836" s="213">
        <v>18493333</v>
      </c>
      <c r="K836" s="212" t="s">
        <v>314</v>
      </c>
      <c r="L836" s="213">
        <v>18493333</v>
      </c>
      <c r="M836" s="212" t="s">
        <v>315</v>
      </c>
      <c r="N836" s="212" t="s">
        <v>448</v>
      </c>
      <c r="O836" s="214">
        <v>0.99960000000000004</v>
      </c>
      <c r="P836" s="13">
        <f t="shared" ref="G836:P837" si="260">+P837</f>
        <v>23000000</v>
      </c>
      <c r="Q836" s="183">
        <f t="shared" si="248"/>
        <v>0.19565217391304349</v>
      </c>
      <c r="R836" s="349">
        <f>+R837</f>
        <v>23000000</v>
      </c>
    </row>
    <row r="837" spans="1:18">
      <c r="A837" s="72" t="s">
        <v>1811</v>
      </c>
      <c r="B837" s="73"/>
      <c r="C837" s="74" t="s">
        <v>1812</v>
      </c>
      <c r="D837" s="75"/>
      <c r="E837" s="20" t="s">
        <v>1813</v>
      </c>
      <c r="F837" s="206">
        <v>18500000</v>
      </c>
      <c r="G837" s="207" t="s">
        <v>35</v>
      </c>
      <c r="H837" s="207" t="s">
        <v>35</v>
      </c>
      <c r="I837" s="208">
        <v>18500000</v>
      </c>
      <c r="J837" s="208">
        <v>18493333</v>
      </c>
      <c r="K837" s="207" t="s">
        <v>314</v>
      </c>
      <c r="L837" s="208">
        <v>18493333</v>
      </c>
      <c r="M837" s="207" t="s">
        <v>315</v>
      </c>
      <c r="N837" s="207" t="s">
        <v>448</v>
      </c>
      <c r="O837" s="209">
        <v>0.99960000000000004</v>
      </c>
      <c r="P837" s="76">
        <f t="shared" si="260"/>
        <v>23000000</v>
      </c>
      <c r="Q837" s="183">
        <f t="shared" si="248"/>
        <v>0.19565217391304349</v>
      </c>
      <c r="R837" s="345">
        <f>+R838</f>
        <v>23000000</v>
      </c>
    </row>
    <row r="838" spans="1:18">
      <c r="A838" s="101" t="s">
        <v>1814</v>
      </c>
      <c r="B838" s="102" t="s">
        <v>1815</v>
      </c>
      <c r="C838" s="101" t="s">
        <v>1816</v>
      </c>
      <c r="D838" s="26"/>
      <c r="E838" s="23" t="s">
        <v>1817</v>
      </c>
      <c r="F838" s="216">
        <v>18500000</v>
      </c>
      <c r="G838" s="217" t="s">
        <v>48</v>
      </c>
      <c r="H838" s="217" t="s">
        <v>48</v>
      </c>
      <c r="I838" s="218">
        <v>18500000</v>
      </c>
      <c r="J838" s="218">
        <v>18493333</v>
      </c>
      <c r="K838" s="217" t="s">
        <v>112</v>
      </c>
      <c r="L838" s="218">
        <v>18493333</v>
      </c>
      <c r="M838" s="217" t="s">
        <v>113</v>
      </c>
      <c r="N838" s="217" t="s">
        <v>114</v>
      </c>
      <c r="O838" s="219">
        <v>0.99960000000000004</v>
      </c>
      <c r="P838" s="15">
        <f t="shared" ref="G838:P838" si="261">SUM(P839:P839)</f>
        <v>23000000</v>
      </c>
      <c r="Q838" s="183">
        <f t="shared" si="248"/>
        <v>0.19565217391304349</v>
      </c>
      <c r="R838" s="359">
        <f>SUM(R839:R839)</f>
        <v>23000000</v>
      </c>
    </row>
    <row r="839" spans="1:18" s="177" customFormat="1">
      <c r="A839" s="79"/>
      <c r="B839" s="80"/>
      <c r="C839" s="79" t="s">
        <v>1816</v>
      </c>
      <c r="D839" s="28" t="s">
        <v>1248</v>
      </c>
      <c r="E839" s="29" t="s">
        <v>1249</v>
      </c>
      <c r="F839" s="227">
        <v>18500000</v>
      </c>
      <c r="G839" s="225" t="s">
        <v>48</v>
      </c>
      <c r="H839" s="225" t="s">
        <v>48</v>
      </c>
      <c r="I839" s="228">
        <v>18500000</v>
      </c>
      <c r="J839" s="228">
        <v>18493333</v>
      </c>
      <c r="K839" s="225" t="s">
        <v>112</v>
      </c>
      <c r="L839" s="228">
        <v>18493333</v>
      </c>
      <c r="M839" s="225" t="s">
        <v>113</v>
      </c>
      <c r="N839" s="225" t="s">
        <v>114</v>
      </c>
      <c r="O839" s="226">
        <v>0.99960000000000004</v>
      </c>
      <c r="P839" s="30">
        <v>23000000</v>
      </c>
      <c r="Q839" s="183">
        <f t="shared" si="248"/>
        <v>0.19565217391304349</v>
      </c>
      <c r="R839" s="171">
        <v>23000000</v>
      </c>
    </row>
    <row r="840" spans="1:18" s="175" customFormat="1">
      <c r="A840" s="89" t="s">
        <v>1818</v>
      </c>
      <c r="B840" s="90" t="s">
        <v>1819</v>
      </c>
      <c r="C840" s="91" t="s">
        <v>1820</v>
      </c>
      <c r="D840" s="92"/>
      <c r="E840" s="37" t="s">
        <v>1821</v>
      </c>
      <c r="F840" s="245">
        <v>972444000</v>
      </c>
      <c r="G840" s="246" t="s">
        <v>35</v>
      </c>
      <c r="H840" s="247">
        <v>20000000</v>
      </c>
      <c r="I840" s="247">
        <v>992444000</v>
      </c>
      <c r="J840" s="247">
        <v>615566648</v>
      </c>
      <c r="K840" s="247">
        <v>181762625</v>
      </c>
      <c r="L840" s="247">
        <v>585773852</v>
      </c>
      <c r="M840" s="247">
        <v>75375174</v>
      </c>
      <c r="N840" s="247">
        <v>467284546</v>
      </c>
      <c r="O840" s="248">
        <v>0.59019999999999995</v>
      </c>
      <c r="P840" s="93">
        <f t="shared" ref="G840:P840" si="262">+P841+P843+P859</f>
        <v>1513390744</v>
      </c>
      <c r="Q840" s="183">
        <f t="shared" si="248"/>
        <v>0.34422487785480999</v>
      </c>
      <c r="R840" s="354">
        <f>+R841+R843+R859</f>
        <v>1513390744</v>
      </c>
    </row>
    <row r="841" spans="1:18" s="176" customFormat="1">
      <c r="A841" s="101"/>
      <c r="B841" s="102" t="s">
        <v>1822</v>
      </c>
      <c r="C841" s="101" t="s">
        <v>1823</v>
      </c>
      <c r="D841" s="26"/>
      <c r="E841" s="23" t="s">
        <v>1824</v>
      </c>
      <c r="F841" s="216">
        <v>3666000</v>
      </c>
      <c r="G841" s="217" t="s">
        <v>48</v>
      </c>
      <c r="H841" s="217" t="s">
        <v>48</v>
      </c>
      <c r="I841" s="218">
        <v>3666000</v>
      </c>
      <c r="J841" s="217" t="s">
        <v>305</v>
      </c>
      <c r="K841" s="217" t="s">
        <v>112</v>
      </c>
      <c r="L841" s="217" t="s">
        <v>112</v>
      </c>
      <c r="M841" s="217" t="s">
        <v>113</v>
      </c>
      <c r="N841" s="217" t="s">
        <v>114</v>
      </c>
      <c r="O841" s="219">
        <v>0</v>
      </c>
      <c r="P841" s="15">
        <f t="shared" ref="G841:P841" si="263">+P842</f>
        <v>44872567</v>
      </c>
      <c r="Q841" s="183">
        <f t="shared" si="248"/>
        <v>0.91830197724146245</v>
      </c>
      <c r="R841" s="359">
        <f>+R842</f>
        <v>44872567</v>
      </c>
    </row>
    <row r="842" spans="1:18" s="177" customFormat="1">
      <c r="A842" s="79"/>
      <c r="B842" s="80"/>
      <c r="C842" s="79" t="s">
        <v>1823</v>
      </c>
      <c r="D842" s="28" t="s">
        <v>1730</v>
      </c>
      <c r="E842" s="29" t="s">
        <v>1731</v>
      </c>
      <c r="F842" s="227">
        <v>3666000</v>
      </c>
      <c r="G842" s="225" t="s">
        <v>48</v>
      </c>
      <c r="H842" s="225" t="s">
        <v>48</v>
      </c>
      <c r="I842" s="228">
        <v>3666000</v>
      </c>
      <c r="J842" s="225" t="s">
        <v>305</v>
      </c>
      <c r="K842" s="225" t="s">
        <v>112</v>
      </c>
      <c r="L842" s="225" t="s">
        <v>112</v>
      </c>
      <c r="M842" s="225" t="s">
        <v>113</v>
      </c>
      <c r="N842" s="225" t="s">
        <v>114</v>
      </c>
      <c r="O842" s="226">
        <v>0</v>
      </c>
      <c r="P842" s="30">
        <v>44872567</v>
      </c>
      <c r="Q842" s="183">
        <f t="shared" si="248"/>
        <v>0.91830197724146245</v>
      </c>
      <c r="R842" s="171">
        <v>44872567</v>
      </c>
    </row>
    <row r="843" spans="1:18">
      <c r="A843" s="101"/>
      <c r="B843" s="102" t="s">
        <v>1825</v>
      </c>
      <c r="C843" s="101" t="s">
        <v>1826</v>
      </c>
      <c r="D843" s="26"/>
      <c r="E843" s="23" t="s">
        <v>1827</v>
      </c>
      <c r="F843" s="216">
        <v>937843000</v>
      </c>
      <c r="G843" s="217" t="s">
        <v>48</v>
      </c>
      <c r="H843" s="218">
        <v>20000000</v>
      </c>
      <c r="I843" s="218">
        <v>957843000</v>
      </c>
      <c r="J843" s="218">
        <v>592432756</v>
      </c>
      <c r="K843" s="218">
        <v>181762625</v>
      </c>
      <c r="L843" s="218">
        <v>562639960</v>
      </c>
      <c r="M843" s="218">
        <v>75375174</v>
      </c>
      <c r="N843" s="218">
        <v>444150654</v>
      </c>
      <c r="O843" s="219">
        <v>0.58740000000000003</v>
      </c>
      <c r="P843" s="15">
        <f>SUM(P844:P858)</f>
        <v>1468518177</v>
      </c>
      <c r="Q843" s="183">
        <f t="shared" si="248"/>
        <v>0.34774862510945959</v>
      </c>
      <c r="R843" s="359">
        <f>SUM(R844:R858)</f>
        <v>1468518177</v>
      </c>
    </row>
    <row r="844" spans="1:18" s="177" customFormat="1">
      <c r="A844" s="79"/>
      <c r="B844" s="80"/>
      <c r="C844" s="79" t="s">
        <v>1826</v>
      </c>
      <c r="D844" s="28" t="s">
        <v>1250</v>
      </c>
      <c r="E844" s="29" t="s">
        <v>1828</v>
      </c>
      <c r="F844" s="227">
        <v>100000000</v>
      </c>
      <c r="G844" s="225" t="s">
        <v>48</v>
      </c>
      <c r="H844" s="225" t="s">
        <v>48</v>
      </c>
      <c r="I844" s="228">
        <v>100000000</v>
      </c>
      <c r="J844" s="228">
        <v>36013243</v>
      </c>
      <c r="K844" s="228">
        <v>19154787</v>
      </c>
      <c r="L844" s="228">
        <v>36013243</v>
      </c>
      <c r="M844" s="228">
        <v>16071807</v>
      </c>
      <c r="N844" s="228">
        <v>32930263</v>
      </c>
      <c r="O844" s="226">
        <v>0.36009999999999998</v>
      </c>
      <c r="P844" s="30"/>
      <c r="Q844" s="183" t="e">
        <f t="shared" si="248"/>
        <v>#DIV/0!</v>
      </c>
      <c r="R844" s="171"/>
    </row>
    <row r="845" spans="1:18" s="177" customFormat="1">
      <c r="A845" s="79"/>
      <c r="B845" s="80"/>
      <c r="C845" s="79" t="s">
        <v>1826</v>
      </c>
      <c r="D845" s="28" t="s">
        <v>1226</v>
      </c>
      <c r="E845" s="29" t="s">
        <v>1183</v>
      </c>
      <c r="F845" s="227">
        <v>24623000</v>
      </c>
      <c r="G845" s="225" t="s">
        <v>48</v>
      </c>
      <c r="H845" s="225" t="s">
        <v>48</v>
      </c>
      <c r="I845" s="228">
        <v>24623000</v>
      </c>
      <c r="J845" s="228">
        <v>21383302</v>
      </c>
      <c r="K845" s="228">
        <v>4932768</v>
      </c>
      <c r="L845" s="228">
        <v>21383302</v>
      </c>
      <c r="M845" s="228">
        <v>4932768</v>
      </c>
      <c r="N845" s="228">
        <v>21383302</v>
      </c>
      <c r="O845" s="226">
        <v>0.86839999999999995</v>
      </c>
      <c r="P845" s="30">
        <v>26255157</v>
      </c>
      <c r="Q845" s="183">
        <f t="shared" si="248"/>
        <v>6.2165196726875413E-2</v>
      </c>
      <c r="R845" s="171">
        <v>26255157</v>
      </c>
    </row>
    <row r="846" spans="1:18" s="177" customFormat="1">
      <c r="A846" s="79"/>
      <c r="B846" s="80"/>
      <c r="C846" s="79" t="s">
        <v>1826</v>
      </c>
      <c r="D846" s="28" t="s">
        <v>1222</v>
      </c>
      <c r="E846" s="29" t="s">
        <v>1599</v>
      </c>
      <c r="F846" s="227">
        <v>313862000</v>
      </c>
      <c r="G846" s="225" t="s">
        <v>48</v>
      </c>
      <c r="H846" s="225" t="s">
        <v>48</v>
      </c>
      <c r="I846" s="228">
        <v>313862000</v>
      </c>
      <c r="J846" s="228">
        <v>313862000</v>
      </c>
      <c r="K846" s="228">
        <v>107032500</v>
      </c>
      <c r="L846" s="228">
        <v>297781500</v>
      </c>
      <c r="M846" s="225" t="s">
        <v>113</v>
      </c>
      <c r="N846" s="228">
        <v>190749000</v>
      </c>
      <c r="O846" s="226">
        <v>0.94879999999999998</v>
      </c>
      <c r="P846" s="30">
        <v>350000000</v>
      </c>
      <c r="Q846" s="183">
        <f t="shared" si="248"/>
        <v>0.10325142857142858</v>
      </c>
      <c r="R846" s="171">
        <v>350000000</v>
      </c>
    </row>
    <row r="847" spans="1:18" s="177" customFormat="1">
      <c r="A847" s="79"/>
      <c r="B847" s="80"/>
      <c r="C847" s="79" t="s">
        <v>1826</v>
      </c>
      <c r="D847" s="28" t="s">
        <v>409</v>
      </c>
      <c r="E847" s="29" t="s">
        <v>1220</v>
      </c>
      <c r="F847" s="227">
        <v>21526000</v>
      </c>
      <c r="G847" s="225" t="s">
        <v>48</v>
      </c>
      <c r="H847" s="225" t="s">
        <v>48</v>
      </c>
      <c r="I847" s="228">
        <v>21526000</v>
      </c>
      <c r="J847" s="228">
        <v>10238296</v>
      </c>
      <c r="K847" s="228">
        <v>5821579</v>
      </c>
      <c r="L847" s="228">
        <v>10238296</v>
      </c>
      <c r="M847" s="228">
        <v>5821579</v>
      </c>
      <c r="N847" s="228">
        <v>10238296</v>
      </c>
      <c r="O847" s="226">
        <v>0.47560000000000002</v>
      </c>
      <c r="P847" s="30">
        <v>22498700</v>
      </c>
      <c r="Q847" s="183">
        <f t="shared" si="248"/>
        <v>4.3233609052967505E-2</v>
      </c>
      <c r="R847" s="171">
        <v>22498700</v>
      </c>
    </row>
    <row r="848" spans="1:18" s="177" customFormat="1">
      <c r="A848" s="79"/>
      <c r="B848" s="80"/>
      <c r="C848" s="79" t="s">
        <v>1826</v>
      </c>
      <c r="D848" s="28" t="s">
        <v>397</v>
      </c>
      <c r="E848" s="29" t="s">
        <v>1217</v>
      </c>
      <c r="F848" s="227">
        <v>130558000</v>
      </c>
      <c r="G848" s="225" t="s">
        <v>48</v>
      </c>
      <c r="H848" s="225" t="s">
        <v>48</v>
      </c>
      <c r="I848" s="228">
        <v>130558000</v>
      </c>
      <c r="J848" s="228">
        <v>33724975</v>
      </c>
      <c r="K848" s="228">
        <v>9590478</v>
      </c>
      <c r="L848" s="228">
        <v>33723685</v>
      </c>
      <c r="M848" s="228">
        <v>9590478</v>
      </c>
      <c r="N848" s="228">
        <v>33723685</v>
      </c>
      <c r="O848" s="226">
        <v>0.25829999999999997</v>
      </c>
      <c r="P848" s="30">
        <v>468807118</v>
      </c>
      <c r="Q848" s="183">
        <f t="shared" si="248"/>
        <v>0.72151020113137443</v>
      </c>
      <c r="R848" s="171">
        <v>468807118</v>
      </c>
    </row>
    <row r="849" spans="1:18" s="177" customFormat="1">
      <c r="A849" s="79"/>
      <c r="B849" s="80"/>
      <c r="C849" s="79" t="s">
        <v>1826</v>
      </c>
      <c r="D849" s="28" t="s">
        <v>393</v>
      </c>
      <c r="E849" s="29" t="s">
        <v>1216</v>
      </c>
      <c r="F849" s="227">
        <v>206519000</v>
      </c>
      <c r="G849" s="225" t="s">
        <v>48</v>
      </c>
      <c r="H849" s="225" t="s">
        <v>48</v>
      </c>
      <c r="I849" s="228">
        <v>206519000</v>
      </c>
      <c r="J849" s="228">
        <v>89703585</v>
      </c>
      <c r="K849" s="228">
        <v>13352522</v>
      </c>
      <c r="L849" s="228">
        <v>89435611</v>
      </c>
      <c r="M849" s="228">
        <v>17137262</v>
      </c>
      <c r="N849" s="228">
        <v>85118496</v>
      </c>
      <c r="O849" s="226">
        <v>0.43309999999999998</v>
      </c>
      <c r="P849" s="30">
        <v>215853659</v>
      </c>
      <c r="Q849" s="183">
        <f t="shared" si="248"/>
        <v>4.3245312788512888E-2</v>
      </c>
      <c r="R849" s="171">
        <v>215853659</v>
      </c>
    </row>
    <row r="850" spans="1:18" s="177" customFormat="1">
      <c r="A850" s="79"/>
      <c r="B850" s="80"/>
      <c r="C850" s="79" t="s">
        <v>1826</v>
      </c>
      <c r="D850" s="28" t="s">
        <v>401</v>
      </c>
      <c r="E850" s="29" t="s">
        <v>1358</v>
      </c>
      <c r="F850" s="227">
        <v>50438000</v>
      </c>
      <c r="G850" s="225" t="s">
        <v>48</v>
      </c>
      <c r="H850" s="225" t="s">
        <v>48</v>
      </c>
      <c r="I850" s="228">
        <v>50438000</v>
      </c>
      <c r="J850" s="228">
        <v>45586126</v>
      </c>
      <c r="K850" s="228">
        <v>10379376</v>
      </c>
      <c r="L850" s="228">
        <v>32143094</v>
      </c>
      <c r="M850" s="228">
        <v>10379376</v>
      </c>
      <c r="N850" s="228">
        <v>32143094</v>
      </c>
      <c r="O850" s="226">
        <v>0.63729999999999998</v>
      </c>
      <c r="P850" s="30">
        <v>133511306</v>
      </c>
      <c r="Q850" s="183">
        <f t="shared" si="248"/>
        <v>0.62221925984305781</v>
      </c>
      <c r="R850" s="171">
        <v>133511306</v>
      </c>
    </row>
    <row r="851" spans="1:18" s="177" customFormat="1">
      <c r="A851" s="79"/>
      <c r="B851" s="80"/>
      <c r="C851" s="79" t="s">
        <v>1826</v>
      </c>
      <c r="D851" s="28" t="s">
        <v>419</v>
      </c>
      <c r="E851" s="29" t="s">
        <v>1221</v>
      </c>
      <c r="F851" s="227">
        <v>23400000</v>
      </c>
      <c r="G851" s="225" t="s">
        <v>48</v>
      </c>
      <c r="H851" s="225" t="s">
        <v>48</v>
      </c>
      <c r="I851" s="228">
        <v>23400000</v>
      </c>
      <c r="J851" s="228">
        <v>15316428</v>
      </c>
      <c r="K851" s="228">
        <v>1170000</v>
      </c>
      <c r="L851" s="228">
        <v>15316428</v>
      </c>
      <c r="M851" s="225" t="s">
        <v>113</v>
      </c>
      <c r="N851" s="228">
        <v>14146428</v>
      </c>
      <c r="O851" s="226">
        <v>0.65449999999999997</v>
      </c>
      <c r="P851" s="30">
        <v>121552237</v>
      </c>
      <c r="Q851" s="183">
        <f t="shared" si="248"/>
        <v>0.8074901739570618</v>
      </c>
      <c r="R851" s="171">
        <v>121552237</v>
      </c>
    </row>
    <row r="852" spans="1:18" s="177" customFormat="1">
      <c r="A852" s="79"/>
      <c r="B852" s="80"/>
      <c r="C852" s="79" t="s">
        <v>1826</v>
      </c>
      <c r="D852" s="28" t="s">
        <v>405</v>
      </c>
      <c r="E852" s="29" t="s">
        <v>1219</v>
      </c>
      <c r="F852" s="227">
        <v>39058000</v>
      </c>
      <c r="G852" s="225" t="s">
        <v>48</v>
      </c>
      <c r="H852" s="228">
        <v>20000000</v>
      </c>
      <c r="I852" s="228">
        <v>59058000</v>
      </c>
      <c r="J852" s="228">
        <v>18782178</v>
      </c>
      <c r="K852" s="228">
        <v>8330792</v>
      </c>
      <c r="L852" s="228">
        <v>18782178</v>
      </c>
      <c r="M852" s="228">
        <v>11441904</v>
      </c>
      <c r="N852" s="228">
        <v>17893290</v>
      </c>
      <c r="O852" s="226">
        <v>0.318</v>
      </c>
      <c r="P852" s="30">
        <v>50000000</v>
      </c>
      <c r="Q852" s="183">
        <f t="shared" si="248"/>
        <v>-0.18115999999999999</v>
      </c>
      <c r="R852" s="171">
        <v>50000000</v>
      </c>
    </row>
    <row r="853" spans="1:18" s="177" customFormat="1">
      <c r="A853" s="79"/>
      <c r="B853" s="80"/>
      <c r="C853" s="79" t="s">
        <v>1826</v>
      </c>
      <c r="D853" s="28" t="s">
        <v>1046</v>
      </c>
      <c r="E853" s="29" t="s">
        <v>1047</v>
      </c>
      <c r="F853" s="227">
        <v>15859000</v>
      </c>
      <c r="G853" s="225" t="s">
        <v>48</v>
      </c>
      <c r="H853" s="225" t="s">
        <v>48</v>
      </c>
      <c r="I853" s="228">
        <v>15859000</v>
      </c>
      <c r="J853" s="228">
        <v>5824800</v>
      </c>
      <c r="K853" s="225" t="s">
        <v>112</v>
      </c>
      <c r="L853" s="228">
        <v>5824800</v>
      </c>
      <c r="M853" s="225" t="s">
        <v>113</v>
      </c>
      <c r="N853" s="228">
        <v>5824800</v>
      </c>
      <c r="O853" s="226">
        <v>0.36730000000000002</v>
      </c>
      <c r="P853" s="30">
        <v>21040000</v>
      </c>
      <c r="Q853" s="183">
        <f t="shared" si="248"/>
        <v>0.24624524714828896</v>
      </c>
      <c r="R853" s="171">
        <v>21040000</v>
      </c>
    </row>
    <row r="854" spans="1:18" s="177" customFormat="1">
      <c r="A854" s="79"/>
      <c r="B854" s="80"/>
      <c r="C854" s="79" t="s">
        <v>1826</v>
      </c>
      <c r="D854" s="28" t="s">
        <v>423</v>
      </c>
      <c r="E854" s="29" t="s">
        <v>1135</v>
      </c>
      <c r="F854" s="227">
        <v>12000000</v>
      </c>
      <c r="G854" s="225" t="s">
        <v>48</v>
      </c>
      <c r="H854" s="225" t="s">
        <v>48</v>
      </c>
      <c r="I854" s="228">
        <v>12000000</v>
      </c>
      <c r="J854" s="228">
        <v>1997823</v>
      </c>
      <c r="K854" s="228">
        <v>1997823</v>
      </c>
      <c r="L854" s="228">
        <v>1997823</v>
      </c>
      <c r="M854" s="225" t="s">
        <v>113</v>
      </c>
      <c r="N854" s="225" t="s">
        <v>114</v>
      </c>
      <c r="O854" s="226">
        <v>0.16650000000000001</v>
      </c>
      <c r="P854" s="30">
        <v>15000000</v>
      </c>
      <c r="Q854" s="183">
        <f t="shared" si="248"/>
        <v>0.2</v>
      </c>
      <c r="R854" s="171">
        <v>15000000</v>
      </c>
    </row>
    <row r="855" spans="1:18" s="177" customFormat="1">
      <c r="A855" s="79"/>
      <c r="B855" s="80"/>
      <c r="C855" s="79"/>
      <c r="D855" s="28" t="s">
        <v>1224</v>
      </c>
      <c r="E855" s="29" t="s">
        <v>1225</v>
      </c>
      <c r="F855" s="30"/>
      <c r="G855" s="30"/>
      <c r="H855" s="30"/>
      <c r="I855" s="30"/>
      <c r="J855" s="30"/>
      <c r="K855" s="30"/>
      <c r="L855" s="30"/>
      <c r="M855" s="30"/>
      <c r="N855" s="30"/>
      <c r="O855" s="159"/>
      <c r="P855" s="30">
        <v>4500000</v>
      </c>
      <c r="Q855" s="183">
        <f t="shared" si="248"/>
        <v>1</v>
      </c>
      <c r="R855" s="171">
        <v>4500000</v>
      </c>
    </row>
    <row r="856" spans="1:18" s="177" customFormat="1">
      <c r="A856" s="79"/>
      <c r="B856" s="80"/>
      <c r="C856" s="79"/>
      <c r="D856" s="28" t="s">
        <v>1177</v>
      </c>
      <c r="E856" s="29" t="s">
        <v>1178</v>
      </c>
      <c r="F856" s="30"/>
      <c r="G856" s="30"/>
      <c r="H856" s="30"/>
      <c r="I856" s="30"/>
      <c r="J856" s="30"/>
      <c r="K856" s="30"/>
      <c r="L856" s="30"/>
      <c r="M856" s="30"/>
      <c r="N856" s="30"/>
      <c r="O856" s="159"/>
      <c r="P856" s="30">
        <v>9000000</v>
      </c>
      <c r="Q856" s="183">
        <f t="shared" si="248"/>
        <v>1</v>
      </c>
      <c r="R856" s="171">
        <v>9000000</v>
      </c>
    </row>
    <row r="857" spans="1:18" s="177" customFormat="1">
      <c r="A857" s="79"/>
      <c r="B857" s="80"/>
      <c r="C857" s="79"/>
      <c r="D857" s="28" t="s">
        <v>1248</v>
      </c>
      <c r="E857" s="29" t="s">
        <v>1249</v>
      </c>
      <c r="F857" s="30"/>
      <c r="G857" s="30"/>
      <c r="H857" s="30"/>
      <c r="I857" s="30"/>
      <c r="J857" s="30"/>
      <c r="K857" s="30"/>
      <c r="L857" s="30"/>
      <c r="M857" s="30"/>
      <c r="N857" s="30"/>
      <c r="O857" s="159"/>
      <c r="P857" s="30">
        <v>10000000</v>
      </c>
      <c r="Q857" s="183"/>
      <c r="R857" s="171">
        <v>10000000</v>
      </c>
    </row>
    <row r="858" spans="1:18" s="177" customFormat="1">
      <c r="A858" s="79"/>
      <c r="B858" s="80"/>
      <c r="C858" s="79"/>
      <c r="D858" s="28" t="s">
        <v>1001</v>
      </c>
      <c r="E858" s="29" t="s">
        <v>1314</v>
      </c>
      <c r="F858" s="30"/>
      <c r="G858" s="30"/>
      <c r="H858" s="30"/>
      <c r="I858" s="30"/>
      <c r="J858" s="30"/>
      <c r="K858" s="30"/>
      <c r="L858" s="30"/>
      <c r="M858" s="30"/>
      <c r="N858" s="30"/>
      <c r="O858" s="159"/>
      <c r="P858" s="30">
        <f>10000000+10500000</f>
        <v>20500000</v>
      </c>
      <c r="Q858" s="183"/>
      <c r="R858" s="171">
        <f>10000000+10500000</f>
        <v>20500000</v>
      </c>
    </row>
    <row r="859" spans="1:18" s="176" customFormat="1">
      <c r="A859" s="101"/>
      <c r="B859" s="102" t="s">
        <v>1829</v>
      </c>
      <c r="C859" s="101" t="s">
        <v>1830</v>
      </c>
      <c r="D859" s="26"/>
      <c r="E859" s="23" t="s">
        <v>1831</v>
      </c>
      <c r="F859" s="272">
        <v>30935000</v>
      </c>
      <c r="G859" s="255" t="s">
        <v>48</v>
      </c>
      <c r="H859" s="255" t="s">
        <v>48</v>
      </c>
      <c r="I859" s="273">
        <v>30935000</v>
      </c>
      <c r="J859" s="273">
        <v>23133892</v>
      </c>
      <c r="K859" s="255" t="s">
        <v>112</v>
      </c>
      <c r="L859" s="273">
        <v>23133892</v>
      </c>
      <c r="M859" s="255" t="s">
        <v>113</v>
      </c>
      <c r="N859" s="273">
        <v>23133892</v>
      </c>
      <c r="O859" s="274">
        <v>0.74780000000000002</v>
      </c>
      <c r="P859" s="15">
        <f t="shared" ref="G859:P859" si="264">SUM(P860:P862)</f>
        <v>0</v>
      </c>
      <c r="Q859" s="183" t="e">
        <f t="shared" si="248"/>
        <v>#DIV/0!</v>
      </c>
      <c r="R859" s="359">
        <f>SUM(R860:R862)</f>
        <v>0</v>
      </c>
    </row>
    <row r="860" spans="1:18" s="177" customFormat="1">
      <c r="A860" s="79"/>
      <c r="B860" s="80"/>
      <c r="C860" s="79" t="s">
        <v>1830</v>
      </c>
      <c r="D860" s="28" t="s">
        <v>332</v>
      </c>
      <c r="E860" s="29" t="s">
        <v>333</v>
      </c>
      <c r="F860" s="227">
        <v>5000000</v>
      </c>
      <c r="G860" s="225" t="s">
        <v>48</v>
      </c>
      <c r="H860" s="225" t="s">
        <v>48</v>
      </c>
      <c r="I860" s="228">
        <v>5000000</v>
      </c>
      <c r="J860" s="228">
        <v>4710734</v>
      </c>
      <c r="K860" s="225" t="s">
        <v>112</v>
      </c>
      <c r="L860" s="228">
        <v>4710734</v>
      </c>
      <c r="M860" s="225" t="s">
        <v>113</v>
      </c>
      <c r="N860" s="228">
        <v>4710734</v>
      </c>
      <c r="O860" s="226">
        <v>0.94210000000000005</v>
      </c>
      <c r="P860" s="30"/>
      <c r="Q860" s="183" t="e">
        <f t="shared" si="248"/>
        <v>#DIV/0!</v>
      </c>
      <c r="R860" s="171"/>
    </row>
    <row r="861" spans="1:18" s="177" customFormat="1">
      <c r="A861" s="79"/>
      <c r="B861" s="80"/>
      <c r="C861" s="79" t="s">
        <v>1830</v>
      </c>
      <c r="D861" s="28" t="s">
        <v>337</v>
      </c>
      <c r="E861" s="29" t="s">
        <v>338</v>
      </c>
      <c r="F861" s="227">
        <v>5000000</v>
      </c>
      <c r="G861" s="225" t="s">
        <v>48</v>
      </c>
      <c r="H861" s="225" t="s">
        <v>48</v>
      </c>
      <c r="I861" s="228">
        <v>5000000</v>
      </c>
      <c r="J861" s="225" t="s">
        <v>305</v>
      </c>
      <c r="K861" s="225" t="s">
        <v>112</v>
      </c>
      <c r="L861" s="225" t="s">
        <v>112</v>
      </c>
      <c r="M861" s="225" t="s">
        <v>113</v>
      </c>
      <c r="N861" s="225" t="s">
        <v>114</v>
      </c>
      <c r="O861" s="226">
        <v>0</v>
      </c>
      <c r="P861" s="30"/>
      <c r="Q861" s="183" t="e">
        <f t="shared" si="248"/>
        <v>#DIV/0!</v>
      </c>
      <c r="R861" s="171"/>
    </row>
    <row r="862" spans="1:18" s="177" customFormat="1">
      <c r="A862" s="79"/>
      <c r="B862" s="80"/>
      <c r="C862" s="79" t="s">
        <v>1830</v>
      </c>
      <c r="D862" s="28" t="s">
        <v>341</v>
      </c>
      <c r="E862" s="29" t="s">
        <v>342</v>
      </c>
      <c r="F862" s="227">
        <v>20935000</v>
      </c>
      <c r="G862" s="225" t="s">
        <v>48</v>
      </c>
      <c r="H862" s="225" t="s">
        <v>48</v>
      </c>
      <c r="I862" s="228">
        <v>20935000</v>
      </c>
      <c r="J862" s="228">
        <v>18423158</v>
      </c>
      <c r="K862" s="225" t="s">
        <v>112</v>
      </c>
      <c r="L862" s="228">
        <v>18423158</v>
      </c>
      <c r="M862" s="225" t="s">
        <v>113</v>
      </c>
      <c r="N862" s="228">
        <v>18423158</v>
      </c>
      <c r="O862" s="226">
        <v>0.88</v>
      </c>
      <c r="P862" s="30"/>
      <c r="Q862" s="183" t="e">
        <f t="shared" si="248"/>
        <v>#DIV/0!</v>
      </c>
      <c r="R862" s="171"/>
    </row>
    <row r="863" spans="1:18" s="175" customFormat="1">
      <c r="A863" s="61" t="s">
        <v>1832</v>
      </c>
      <c r="B863" s="61" t="s">
        <v>1833</v>
      </c>
      <c r="C863" s="61" t="s">
        <v>1834</v>
      </c>
      <c r="D863" s="61"/>
      <c r="E863" s="61" t="s">
        <v>1835</v>
      </c>
      <c r="F863" s="62">
        <f t="shared" ref="F863:P863" si="265">+F864+F876</f>
        <v>65551101000</v>
      </c>
      <c r="G863" s="62">
        <f t="shared" si="265"/>
        <v>33101016230</v>
      </c>
      <c r="H863" s="193">
        <v>36587122784</v>
      </c>
      <c r="I863" s="62">
        <f t="shared" si="265"/>
        <v>102138223784</v>
      </c>
      <c r="J863" s="62">
        <f t="shared" si="265"/>
        <v>70249056975</v>
      </c>
      <c r="K863" s="193">
        <v>7255094571</v>
      </c>
      <c r="L863" s="62">
        <f t="shared" si="265"/>
        <v>68635457567</v>
      </c>
      <c r="M863" s="193">
        <v>7021728956</v>
      </c>
      <c r="N863" s="62">
        <f t="shared" si="265"/>
        <v>68388825270</v>
      </c>
      <c r="O863" s="194">
        <v>0.67200000000000004</v>
      </c>
      <c r="P863" s="62">
        <f t="shared" si="265"/>
        <v>109849147761.98</v>
      </c>
      <c r="Q863" s="183">
        <f t="shared" si="248"/>
        <v>7.0195573976485889E-2</v>
      </c>
      <c r="R863" s="341">
        <f>+R864+R876</f>
        <v>109849147761.98</v>
      </c>
    </row>
    <row r="864" spans="1:18" s="175" customFormat="1">
      <c r="A864" s="103" t="s">
        <v>1836</v>
      </c>
      <c r="B864" s="104" t="s">
        <v>1837</v>
      </c>
      <c r="C864" s="43" t="s">
        <v>1838</v>
      </c>
      <c r="D864" s="105"/>
      <c r="E864" s="42" t="s">
        <v>1839</v>
      </c>
      <c r="F864" s="288">
        <v>64551101000</v>
      </c>
      <c r="G864" s="290">
        <v>32941016230</v>
      </c>
      <c r="H864" s="290">
        <v>34355824230</v>
      </c>
      <c r="I864" s="290">
        <v>98906925230</v>
      </c>
      <c r="J864" s="290">
        <v>68730915029</v>
      </c>
      <c r="K864" s="290">
        <v>6912212845</v>
      </c>
      <c r="L864" s="290">
        <v>67920657555</v>
      </c>
      <c r="M864" s="290">
        <v>6916662266</v>
      </c>
      <c r="N864" s="290">
        <v>67911840294</v>
      </c>
      <c r="O864" s="291">
        <v>0.68669999999999998</v>
      </c>
      <c r="P864" s="106">
        <f t="shared" ref="G864:P864" si="266">+P865</f>
        <v>105749191556.98</v>
      </c>
      <c r="Q864" s="183">
        <f t="shared" si="248"/>
        <v>6.4702776694923775E-2</v>
      </c>
      <c r="R864" s="361">
        <f>+R865</f>
        <v>105749191556.98</v>
      </c>
    </row>
    <row r="865" spans="1:18">
      <c r="A865" s="107" t="s">
        <v>1840</v>
      </c>
      <c r="B865" s="108" t="s">
        <v>1841</v>
      </c>
      <c r="C865" s="109" t="s">
        <v>1842</v>
      </c>
      <c r="D865" s="44"/>
      <c r="E865" s="45" t="s">
        <v>1843</v>
      </c>
      <c r="F865" s="293">
        <v>64551101000</v>
      </c>
      <c r="G865" s="295">
        <v>32941016230</v>
      </c>
      <c r="H865" s="295">
        <v>34355824230</v>
      </c>
      <c r="I865" s="295">
        <v>98906925230</v>
      </c>
      <c r="J865" s="295">
        <v>68730915029</v>
      </c>
      <c r="K865" s="295">
        <v>6912212845</v>
      </c>
      <c r="L865" s="295">
        <v>67920657555</v>
      </c>
      <c r="M865" s="295">
        <v>6916662266</v>
      </c>
      <c r="N865" s="295">
        <v>67911840294</v>
      </c>
      <c r="O865" s="296">
        <v>0.68669999999999998</v>
      </c>
      <c r="P865" s="110">
        <f t="shared" ref="G865:P865" si="267">+P866+P869+P872</f>
        <v>105749191556.98</v>
      </c>
      <c r="Q865" s="183">
        <f t="shared" si="248"/>
        <v>6.4702776694923775E-2</v>
      </c>
      <c r="R865" s="362">
        <f>+R866+R869+R872</f>
        <v>105749191556.98</v>
      </c>
    </row>
    <row r="866" spans="1:18" s="177" customFormat="1">
      <c r="A866" s="52" t="s">
        <v>1844</v>
      </c>
      <c r="B866" s="111" t="s">
        <v>1845</v>
      </c>
      <c r="C866" s="112" t="s">
        <v>1846</v>
      </c>
      <c r="D866" s="51"/>
      <c r="E866" s="52" t="s">
        <v>1847</v>
      </c>
      <c r="F866" s="297">
        <v>61867741000</v>
      </c>
      <c r="G866" s="299">
        <v>32068445230</v>
      </c>
      <c r="H866" s="299">
        <v>32068445230</v>
      </c>
      <c r="I866" s="299">
        <v>93936186230</v>
      </c>
      <c r="J866" s="299">
        <v>65104437258</v>
      </c>
      <c r="K866" s="299">
        <v>6456114329</v>
      </c>
      <c r="L866" s="299">
        <v>64296950695</v>
      </c>
      <c r="M866" s="299">
        <v>6456114329</v>
      </c>
      <c r="N866" s="299">
        <v>64296950695</v>
      </c>
      <c r="O866" s="300">
        <v>0.6845</v>
      </c>
      <c r="P866" s="113">
        <f t="shared" ref="G866:P867" si="268">+P867</f>
        <v>99861494216.979996</v>
      </c>
      <c r="Q866" s="183">
        <f t="shared" si="248"/>
        <v>5.9335262639926362E-2</v>
      </c>
      <c r="R866" s="363">
        <f>+R867</f>
        <v>99861494216.979996</v>
      </c>
    </row>
    <row r="867" spans="1:18" s="177" customFormat="1">
      <c r="A867" s="101" t="s">
        <v>1848</v>
      </c>
      <c r="B867" s="102" t="s">
        <v>1849</v>
      </c>
      <c r="C867" s="101" t="s">
        <v>1850</v>
      </c>
      <c r="D867" s="26"/>
      <c r="E867" s="23" t="s">
        <v>1851</v>
      </c>
      <c r="F867" s="216">
        <v>61867741000</v>
      </c>
      <c r="G867" s="218">
        <v>32068445230</v>
      </c>
      <c r="H867" s="218">
        <v>32068445230</v>
      </c>
      <c r="I867" s="218">
        <v>93936186230</v>
      </c>
      <c r="J867" s="218">
        <v>65104437258</v>
      </c>
      <c r="K867" s="218">
        <v>6456114329</v>
      </c>
      <c r="L867" s="218">
        <v>64296950695</v>
      </c>
      <c r="M867" s="218">
        <v>6456114329</v>
      </c>
      <c r="N867" s="218">
        <v>64296950695</v>
      </c>
      <c r="O867" s="219">
        <v>0.6845</v>
      </c>
      <c r="P867" s="15">
        <f t="shared" si="268"/>
        <v>99861494216.979996</v>
      </c>
      <c r="Q867" s="183">
        <f t="shared" si="248"/>
        <v>5.9335262639926362E-2</v>
      </c>
      <c r="R867" s="359">
        <f>+R868</f>
        <v>99861494216.979996</v>
      </c>
    </row>
    <row r="868" spans="1:18" s="177" customFormat="1">
      <c r="A868" s="79"/>
      <c r="B868" s="80"/>
      <c r="C868" s="79" t="s">
        <v>1850</v>
      </c>
      <c r="D868" s="28" t="s">
        <v>354</v>
      </c>
      <c r="E868" s="29" t="s">
        <v>355</v>
      </c>
      <c r="F868" s="227">
        <v>61867741000</v>
      </c>
      <c r="G868" s="228">
        <v>32068445230</v>
      </c>
      <c r="H868" s="228">
        <v>32068445230</v>
      </c>
      <c r="I868" s="228">
        <v>93936186230</v>
      </c>
      <c r="J868" s="228">
        <v>65104437258</v>
      </c>
      <c r="K868" s="228">
        <v>6456114329</v>
      </c>
      <c r="L868" s="228">
        <v>64296950695</v>
      </c>
      <c r="M868" s="228">
        <v>6456114329</v>
      </c>
      <c r="N868" s="228">
        <v>64296950695</v>
      </c>
      <c r="O868" s="226">
        <v>0.6845</v>
      </c>
      <c r="P868" s="30">
        <v>99861494216.979996</v>
      </c>
      <c r="Q868" s="183">
        <f t="shared" si="248"/>
        <v>5.9335262639926362E-2</v>
      </c>
      <c r="R868" s="171">
        <v>99861494216.979996</v>
      </c>
    </row>
    <row r="869" spans="1:18" s="177" customFormat="1">
      <c r="A869" s="52" t="s">
        <v>1852</v>
      </c>
      <c r="B869" s="111" t="s">
        <v>1853</v>
      </c>
      <c r="C869" s="112" t="s">
        <v>1854</v>
      </c>
      <c r="D869" s="51"/>
      <c r="E869" s="52" t="s">
        <v>1855</v>
      </c>
      <c r="F869" s="297">
        <v>1268760000</v>
      </c>
      <c r="G869" s="298" t="s">
        <v>35</v>
      </c>
      <c r="H869" s="298" t="s">
        <v>35</v>
      </c>
      <c r="I869" s="299">
        <v>1268760000</v>
      </c>
      <c r="J869" s="299">
        <v>937207759</v>
      </c>
      <c r="K869" s="299">
        <v>268168385</v>
      </c>
      <c r="L869" s="299">
        <v>934436848</v>
      </c>
      <c r="M869" s="299">
        <v>272617806</v>
      </c>
      <c r="N869" s="299">
        <v>925619587</v>
      </c>
      <c r="O869" s="300">
        <v>0.73650000000000004</v>
      </c>
      <c r="P869" s="113">
        <f t="shared" ref="G869:P870" si="269">+P870</f>
        <v>1774697340</v>
      </c>
      <c r="Q869" s="183">
        <f t="shared" si="248"/>
        <v>0.28508373151672162</v>
      </c>
      <c r="R869" s="363">
        <f>+R870</f>
        <v>1774697340</v>
      </c>
    </row>
    <row r="870" spans="1:18" s="176" customFormat="1">
      <c r="A870" s="101" t="s">
        <v>1856</v>
      </c>
      <c r="B870" s="102" t="s">
        <v>1857</v>
      </c>
      <c r="C870" s="101" t="s">
        <v>1858</v>
      </c>
      <c r="D870" s="26"/>
      <c r="E870" s="23" t="s">
        <v>1859</v>
      </c>
      <c r="F870" s="216">
        <v>1268760000</v>
      </c>
      <c r="G870" s="217" t="s">
        <v>48</v>
      </c>
      <c r="H870" s="217" t="s">
        <v>48</v>
      </c>
      <c r="I870" s="218">
        <v>1268760000</v>
      </c>
      <c r="J870" s="218">
        <v>937207759</v>
      </c>
      <c r="K870" s="218">
        <v>268168385</v>
      </c>
      <c r="L870" s="218">
        <v>934436848</v>
      </c>
      <c r="M870" s="218">
        <v>272617806</v>
      </c>
      <c r="N870" s="218">
        <v>925619587</v>
      </c>
      <c r="O870" s="219">
        <v>0.73650000000000004</v>
      </c>
      <c r="P870" s="15">
        <f t="shared" si="269"/>
        <v>1774697340</v>
      </c>
      <c r="Q870" s="183">
        <f t="shared" si="248"/>
        <v>0.28508373151672162</v>
      </c>
      <c r="R870" s="359">
        <f>+R871</f>
        <v>1774697340</v>
      </c>
    </row>
    <row r="871" spans="1:18" s="177" customFormat="1">
      <c r="A871" s="79"/>
      <c r="B871" s="80"/>
      <c r="C871" s="79" t="s">
        <v>1858</v>
      </c>
      <c r="D871" s="28" t="s">
        <v>354</v>
      </c>
      <c r="E871" s="29" t="s">
        <v>355</v>
      </c>
      <c r="F871" s="227">
        <v>1268760000</v>
      </c>
      <c r="G871" s="225" t="s">
        <v>48</v>
      </c>
      <c r="H871" s="225" t="s">
        <v>48</v>
      </c>
      <c r="I871" s="228">
        <v>1268760000</v>
      </c>
      <c r="J871" s="228">
        <v>937207759</v>
      </c>
      <c r="K871" s="228">
        <v>268168385</v>
      </c>
      <c r="L871" s="228">
        <v>934436848</v>
      </c>
      <c r="M871" s="228">
        <v>272617806</v>
      </c>
      <c r="N871" s="228">
        <v>925619587</v>
      </c>
      <c r="O871" s="226">
        <v>0.73650000000000004</v>
      </c>
      <c r="P871" s="30">
        <v>1774697340</v>
      </c>
      <c r="Q871" s="183">
        <f t="shared" si="248"/>
        <v>0.28508373151672162</v>
      </c>
      <c r="R871" s="171">
        <v>1774697340</v>
      </c>
    </row>
    <row r="872" spans="1:18" s="177" customFormat="1">
      <c r="A872" s="52" t="s">
        <v>1860</v>
      </c>
      <c r="B872" s="111" t="s">
        <v>1861</v>
      </c>
      <c r="C872" s="112" t="s">
        <v>1862</v>
      </c>
      <c r="D872" s="51"/>
      <c r="E872" s="52" t="s">
        <v>1863</v>
      </c>
      <c r="F872" s="297">
        <v>1414600000</v>
      </c>
      <c r="G872" s="299">
        <v>872571000</v>
      </c>
      <c r="H872" s="299">
        <v>2287379000</v>
      </c>
      <c r="I872" s="299">
        <v>3701979000</v>
      </c>
      <c r="J872" s="299">
        <v>2689270012</v>
      </c>
      <c r="K872" s="299">
        <v>187930131</v>
      </c>
      <c r="L872" s="299">
        <v>2689270012</v>
      </c>
      <c r="M872" s="299">
        <v>187930131</v>
      </c>
      <c r="N872" s="299">
        <v>2689270012</v>
      </c>
      <c r="O872" s="300">
        <v>0.72640000000000005</v>
      </c>
      <c r="P872" s="113">
        <f t="shared" ref="G872:P874" si="270">+P873</f>
        <v>4113000000</v>
      </c>
      <c r="Q872" s="183">
        <f t="shared" si="248"/>
        <v>9.9932166301969369E-2</v>
      </c>
      <c r="R872" s="363">
        <f>+R873</f>
        <v>4113000000</v>
      </c>
    </row>
    <row r="873" spans="1:18" s="177" customFormat="1">
      <c r="A873" s="114" t="s">
        <v>1864</v>
      </c>
      <c r="B873" s="115" t="s">
        <v>1865</v>
      </c>
      <c r="C873" s="116" t="s">
        <v>1866</v>
      </c>
      <c r="D873" s="117"/>
      <c r="E873" s="50" t="s">
        <v>1867</v>
      </c>
      <c r="F873" s="301">
        <v>1414600000</v>
      </c>
      <c r="G873" s="302">
        <v>872571000</v>
      </c>
      <c r="H873" s="302">
        <v>2287379000</v>
      </c>
      <c r="I873" s="302">
        <v>3701979000</v>
      </c>
      <c r="J873" s="302">
        <v>2689270012</v>
      </c>
      <c r="K873" s="302">
        <v>187930131</v>
      </c>
      <c r="L873" s="302">
        <v>2689270012</v>
      </c>
      <c r="M873" s="302">
        <v>187930131</v>
      </c>
      <c r="N873" s="302">
        <v>2689270012</v>
      </c>
      <c r="O873" s="303">
        <v>0.72640000000000005</v>
      </c>
      <c r="P873" s="118">
        <f t="shared" si="270"/>
        <v>4113000000</v>
      </c>
      <c r="Q873" s="183">
        <f t="shared" si="248"/>
        <v>9.9932166301969369E-2</v>
      </c>
      <c r="R873" s="364">
        <f>+R874</f>
        <v>4113000000</v>
      </c>
    </row>
    <row r="874" spans="1:18" s="176" customFormat="1">
      <c r="A874" s="101" t="s">
        <v>1868</v>
      </c>
      <c r="B874" s="102" t="s">
        <v>1869</v>
      </c>
      <c r="C874" s="101" t="s">
        <v>1870</v>
      </c>
      <c r="D874" s="26"/>
      <c r="E874" s="23" t="s">
        <v>1871</v>
      </c>
      <c r="F874" s="216">
        <v>1414600000</v>
      </c>
      <c r="G874" s="218">
        <v>872571000</v>
      </c>
      <c r="H874" s="218">
        <v>2287379000</v>
      </c>
      <c r="I874" s="218">
        <v>3701979000</v>
      </c>
      <c r="J874" s="218">
        <v>2689270012</v>
      </c>
      <c r="K874" s="218">
        <v>187930131</v>
      </c>
      <c r="L874" s="218">
        <v>2689270012</v>
      </c>
      <c r="M874" s="218">
        <v>187930131</v>
      </c>
      <c r="N874" s="218">
        <v>2689270012</v>
      </c>
      <c r="O874" s="219">
        <v>0.72640000000000005</v>
      </c>
      <c r="P874" s="15">
        <f t="shared" si="270"/>
        <v>4113000000</v>
      </c>
      <c r="Q874" s="183">
        <f t="shared" si="248"/>
        <v>9.9932166301969369E-2</v>
      </c>
      <c r="R874" s="359">
        <f>+R875</f>
        <v>4113000000</v>
      </c>
    </row>
    <row r="875" spans="1:18" s="177" customFormat="1">
      <c r="A875" s="79"/>
      <c r="B875" s="80"/>
      <c r="C875" s="79" t="s">
        <v>1870</v>
      </c>
      <c r="D875" s="28" t="s">
        <v>354</v>
      </c>
      <c r="E875" s="29" t="s">
        <v>355</v>
      </c>
      <c r="F875" s="227">
        <v>1414600000</v>
      </c>
      <c r="G875" s="228">
        <v>872571000</v>
      </c>
      <c r="H875" s="228">
        <v>2287379000</v>
      </c>
      <c r="I875" s="228">
        <v>3701979000</v>
      </c>
      <c r="J875" s="228">
        <v>2689270012</v>
      </c>
      <c r="K875" s="228">
        <v>187930131</v>
      </c>
      <c r="L875" s="228">
        <v>2689270012</v>
      </c>
      <c r="M875" s="228">
        <v>187930131</v>
      </c>
      <c r="N875" s="228">
        <v>2689270012</v>
      </c>
      <c r="O875" s="226">
        <v>0.72640000000000005</v>
      </c>
      <c r="P875" s="30">
        <v>4113000000</v>
      </c>
      <c r="Q875" s="183">
        <f t="shared" si="248"/>
        <v>9.9932166301969369E-2</v>
      </c>
      <c r="R875" s="171">
        <v>4113000000</v>
      </c>
    </row>
    <row r="876" spans="1:18" s="175" customFormat="1">
      <c r="A876" s="103" t="s">
        <v>1872</v>
      </c>
      <c r="B876" s="104" t="s">
        <v>1873</v>
      </c>
      <c r="C876" s="43" t="s">
        <v>1874</v>
      </c>
      <c r="D876" s="105"/>
      <c r="E876" s="42" t="s">
        <v>1875</v>
      </c>
      <c r="F876" s="305">
        <v>1000000000</v>
      </c>
      <c r="G876" s="307">
        <v>160000000</v>
      </c>
      <c r="H876" s="307">
        <v>2231298554</v>
      </c>
      <c r="I876" s="307">
        <v>3231298554</v>
      </c>
      <c r="J876" s="307">
        <v>1518141946</v>
      </c>
      <c r="K876" s="307">
        <v>342881726</v>
      </c>
      <c r="L876" s="307">
        <v>714800012</v>
      </c>
      <c r="M876" s="307">
        <v>105066690</v>
      </c>
      <c r="N876" s="307">
        <v>476984976</v>
      </c>
      <c r="O876" s="308">
        <v>0.22120000000000001</v>
      </c>
      <c r="P876" s="106">
        <f t="shared" ref="G876:P876" si="271">+P877</f>
        <v>4099956205</v>
      </c>
      <c r="Q876" s="183">
        <f t="shared" si="248"/>
        <v>0.21186998288924405</v>
      </c>
      <c r="R876" s="361">
        <f>+R877</f>
        <v>4099956205</v>
      </c>
    </row>
    <row r="877" spans="1:18">
      <c r="A877" s="107" t="s">
        <v>1876</v>
      </c>
      <c r="B877" s="108" t="s">
        <v>1877</v>
      </c>
      <c r="C877" s="109" t="s">
        <v>1878</v>
      </c>
      <c r="D877" s="44"/>
      <c r="E877" s="45" t="s">
        <v>1879</v>
      </c>
      <c r="F877" s="293">
        <v>1000000000</v>
      </c>
      <c r="G877" s="295">
        <v>160000000</v>
      </c>
      <c r="H877" s="295">
        <v>2231298554</v>
      </c>
      <c r="I877" s="295">
        <v>3231298554</v>
      </c>
      <c r="J877" s="295">
        <v>1518141946</v>
      </c>
      <c r="K877" s="295">
        <v>342881726</v>
      </c>
      <c r="L877" s="295">
        <v>714800012</v>
      </c>
      <c r="M877" s="295">
        <v>105066690</v>
      </c>
      <c r="N877" s="295">
        <v>476984976</v>
      </c>
      <c r="O877" s="296">
        <v>0.22120000000000001</v>
      </c>
      <c r="P877" s="110">
        <f t="shared" ref="G877:P877" si="272">+P878+P880</f>
        <v>4099956205</v>
      </c>
      <c r="Q877" s="183">
        <f t="shared" si="248"/>
        <v>0.21186998288924405</v>
      </c>
      <c r="R877" s="362">
        <f>+R878+R880</f>
        <v>4099956205</v>
      </c>
    </row>
    <row r="878" spans="1:18" s="176" customFormat="1">
      <c r="A878" s="101" t="s">
        <v>1880</v>
      </c>
      <c r="B878" s="102" t="s">
        <v>1881</v>
      </c>
      <c r="C878" s="101" t="s">
        <v>1882</v>
      </c>
      <c r="D878" s="26"/>
      <c r="E878" s="23" t="s">
        <v>1883</v>
      </c>
      <c r="F878" s="216">
        <v>1000000000</v>
      </c>
      <c r="G878" s="218">
        <v>160000000</v>
      </c>
      <c r="H878" s="218">
        <v>2231298554</v>
      </c>
      <c r="I878" s="218">
        <v>3231298554</v>
      </c>
      <c r="J878" s="218">
        <v>1518141946</v>
      </c>
      <c r="K878" s="218">
        <v>342881726</v>
      </c>
      <c r="L878" s="218">
        <v>714800012</v>
      </c>
      <c r="M878" s="218">
        <v>105066690</v>
      </c>
      <c r="N878" s="218">
        <v>476984976</v>
      </c>
      <c r="O878" s="219">
        <v>0.22120000000000001</v>
      </c>
      <c r="P878" s="15">
        <f t="shared" ref="G878:P878" si="273">+P879</f>
        <v>4099956205</v>
      </c>
      <c r="Q878" s="183">
        <f t="shared" si="248"/>
        <v>0.21186998288924405</v>
      </c>
      <c r="R878" s="359">
        <f>+R879</f>
        <v>4099956205</v>
      </c>
    </row>
    <row r="879" spans="1:18" s="177" customFormat="1">
      <c r="A879" s="79"/>
      <c r="B879" s="80"/>
      <c r="C879" s="79" t="s">
        <v>1882</v>
      </c>
      <c r="D879" s="28" t="s">
        <v>346</v>
      </c>
      <c r="E879" s="29" t="s">
        <v>347</v>
      </c>
      <c r="F879" s="227">
        <v>1000000000</v>
      </c>
      <c r="G879" s="228">
        <v>160000000</v>
      </c>
      <c r="H879" s="228">
        <v>2231298554</v>
      </c>
      <c r="I879" s="228">
        <v>3231298554</v>
      </c>
      <c r="J879" s="228">
        <v>1518141946</v>
      </c>
      <c r="K879" s="228">
        <v>342881726</v>
      </c>
      <c r="L879" s="228">
        <v>714800012</v>
      </c>
      <c r="M879" s="228">
        <v>105066690</v>
      </c>
      <c r="N879" s="228">
        <v>476984976</v>
      </c>
      <c r="O879" s="226">
        <v>0.22120000000000001</v>
      </c>
      <c r="P879" s="30">
        <v>4099956205</v>
      </c>
      <c r="Q879" s="183">
        <f t="shared" ref="Q879:Q922" si="274">+(P879-I879)/P879</f>
        <v>0.21186998288924405</v>
      </c>
      <c r="R879" s="171">
        <v>4099956205</v>
      </c>
    </row>
    <row r="880" spans="1:18" s="176" customFormat="1">
      <c r="A880" s="101" t="s">
        <v>1884</v>
      </c>
      <c r="B880" s="102"/>
      <c r="C880" s="101" t="s">
        <v>1885</v>
      </c>
      <c r="D880" s="26"/>
      <c r="E880" s="23" t="s">
        <v>1886</v>
      </c>
      <c r="F880" s="215" t="s">
        <v>304</v>
      </c>
      <c r="G880" s="217" t="s">
        <v>48</v>
      </c>
      <c r="H880" s="217" t="s">
        <v>48</v>
      </c>
      <c r="I880" s="217" t="s">
        <v>304</v>
      </c>
      <c r="J880" s="217" t="s">
        <v>305</v>
      </c>
      <c r="K880" s="217" t="s">
        <v>112</v>
      </c>
      <c r="L880" s="217" t="s">
        <v>112</v>
      </c>
      <c r="M880" s="217" t="s">
        <v>113</v>
      </c>
      <c r="N880" s="217" t="s">
        <v>114</v>
      </c>
      <c r="O880" s="219">
        <v>0</v>
      </c>
      <c r="P880" s="15"/>
      <c r="Q880" s="183" t="e">
        <f t="shared" si="274"/>
        <v>#VALUE!</v>
      </c>
      <c r="R880" s="359"/>
    </row>
    <row r="881" spans="1:18" s="175" customFormat="1">
      <c r="A881" s="61" t="s">
        <v>1887</v>
      </c>
      <c r="B881" s="61" t="s">
        <v>1888</v>
      </c>
      <c r="C881" s="61" t="s">
        <v>1889</v>
      </c>
      <c r="D881" s="61"/>
      <c r="E881" s="61" t="s">
        <v>1890</v>
      </c>
      <c r="F881" s="62">
        <f t="shared" ref="F881:P881" si="275">+F882</f>
        <v>3041784000</v>
      </c>
      <c r="G881" s="193">
        <v>2603509819</v>
      </c>
      <c r="H881" s="62">
        <f t="shared" si="275"/>
        <v>4047452843</v>
      </c>
      <c r="I881" s="62">
        <f t="shared" si="275"/>
        <v>7089236843</v>
      </c>
      <c r="J881" s="62">
        <f t="shared" si="275"/>
        <v>3663360390</v>
      </c>
      <c r="K881" s="193">
        <v>481121152</v>
      </c>
      <c r="L881" s="62">
        <f t="shared" si="275"/>
        <v>1660164143</v>
      </c>
      <c r="M881" s="193">
        <v>17289000</v>
      </c>
      <c r="N881" s="62">
        <f t="shared" si="275"/>
        <v>1179042991</v>
      </c>
      <c r="O881" s="194">
        <v>0.23419999999999999</v>
      </c>
      <c r="P881" s="62">
        <f t="shared" si="275"/>
        <v>24263760000</v>
      </c>
      <c r="Q881" s="183">
        <f t="shared" si="274"/>
        <v>0.70782612245587662</v>
      </c>
      <c r="R881" s="341">
        <f>+R882</f>
        <v>24263760000</v>
      </c>
    </row>
    <row r="882" spans="1:18" s="175" customFormat="1">
      <c r="A882" s="103" t="s">
        <v>1891</v>
      </c>
      <c r="B882" s="104" t="s">
        <v>1892</v>
      </c>
      <c r="C882" s="43" t="s">
        <v>1893</v>
      </c>
      <c r="D882" s="105"/>
      <c r="E882" s="42" t="s">
        <v>1894</v>
      </c>
      <c r="F882" s="288">
        <v>3041784000</v>
      </c>
      <c r="G882" s="290">
        <v>2603509819</v>
      </c>
      <c r="H882" s="290">
        <v>4047452843</v>
      </c>
      <c r="I882" s="290">
        <v>7089236843</v>
      </c>
      <c r="J882" s="290">
        <v>3663360390</v>
      </c>
      <c r="K882" s="290">
        <v>481121152</v>
      </c>
      <c r="L882" s="290">
        <v>1660164143</v>
      </c>
      <c r="M882" s="290">
        <v>17289000</v>
      </c>
      <c r="N882" s="290">
        <v>1179042991</v>
      </c>
      <c r="O882" s="291">
        <v>0.23419999999999999</v>
      </c>
      <c r="P882" s="106">
        <f t="shared" ref="G882:P882" si="276">+P883+P885</f>
        <v>24263760000</v>
      </c>
      <c r="Q882" s="183">
        <f t="shared" si="274"/>
        <v>0.70782612245587662</v>
      </c>
      <c r="R882" s="361">
        <f>+R883+R885</f>
        <v>24263760000</v>
      </c>
    </row>
    <row r="883" spans="1:18" s="176" customFormat="1">
      <c r="A883" s="101" t="s">
        <v>1895</v>
      </c>
      <c r="B883" s="102" t="s">
        <v>1896</v>
      </c>
      <c r="C883" s="101" t="s">
        <v>1897</v>
      </c>
      <c r="D883" s="26"/>
      <c r="E883" s="23" t="s">
        <v>1898</v>
      </c>
      <c r="F883" s="216">
        <v>1444097000</v>
      </c>
      <c r="G883" s="218">
        <v>2603509819</v>
      </c>
      <c r="H883" s="218">
        <v>3938945521</v>
      </c>
      <c r="I883" s="218">
        <v>5383042521</v>
      </c>
      <c r="J883" s="218">
        <v>2694472057</v>
      </c>
      <c r="K883" s="218">
        <v>351121152</v>
      </c>
      <c r="L883" s="218">
        <v>1358616321</v>
      </c>
      <c r="M883" s="217" t="s">
        <v>113</v>
      </c>
      <c r="N883" s="218">
        <v>1007495169</v>
      </c>
      <c r="O883" s="219">
        <v>0.25240000000000001</v>
      </c>
      <c r="P883" s="15">
        <f t="shared" ref="G883:P883" si="277">+P884</f>
        <v>6704460000</v>
      </c>
      <c r="Q883" s="183">
        <f t="shared" si="274"/>
        <v>0.19709528865859444</v>
      </c>
      <c r="R883" s="359">
        <f>+R884</f>
        <v>6704460000</v>
      </c>
    </row>
    <row r="884" spans="1:18" s="177" customFormat="1">
      <c r="A884" s="79"/>
      <c r="B884" s="80"/>
      <c r="C884" s="79" t="s">
        <v>1897</v>
      </c>
      <c r="D884" s="28" t="s">
        <v>346</v>
      </c>
      <c r="E884" s="29" t="s">
        <v>347</v>
      </c>
      <c r="F884" s="227">
        <v>1444097000</v>
      </c>
      <c r="G884" s="228">
        <v>2603509819</v>
      </c>
      <c r="H884" s="228">
        <v>3938945521</v>
      </c>
      <c r="I884" s="228">
        <v>5383042521</v>
      </c>
      <c r="J884" s="228">
        <v>2694472057</v>
      </c>
      <c r="K884" s="228">
        <v>351121152</v>
      </c>
      <c r="L884" s="228">
        <v>1358616321</v>
      </c>
      <c r="M884" s="225" t="s">
        <v>113</v>
      </c>
      <c r="N884" s="228">
        <v>1007495169</v>
      </c>
      <c r="O884" s="226">
        <v>0.25240000000000001</v>
      </c>
      <c r="P884" s="30">
        <v>6704460000</v>
      </c>
      <c r="Q884" s="183">
        <f t="shared" si="274"/>
        <v>0.19709528865859444</v>
      </c>
      <c r="R884" s="171">
        <v>6704460000</v>
      </c>
    </row>
    <row r="885" spans="1:18" s="176" customFormat="1">
      <c r="A885" s="101" t="s">
        <v>1899</v>
      </c>
      <c r="B885" s="102" t="s">
        <v>1900</v>
      </c>
      <c r="C885" s="101" t="s">
        <v>1901</v>
      </c>
      <c r="D885" s="26"/>
      <c r="E885" s="23" t="s">
        <v>1902</v>
      </c>
      <c r="F885" s="216">
        <v>1597687000</v>
      </c>
      <c r="G885" s="217" t="s">
        <v>48</v>
      </c>
      <c r="H885" s="218">
        <v>108507322</v>
      </c>
      <c r="I885" s="218">
        <v>1706194322</v>
      </c>
      <c r="J885" s="218">
        <v>968888333</v>
      </c>
      <c r="K885" s="218">
        <v>130000000</v>
      </c>
      <c r="L885" s="218">
        <v>301547822</v>
      </c>
      <c r="M885" s="218">
        <v>17289000</v>
      </c>
      <c r="N885" s="218">
        <v>171547822</v>
      </c>
      <c r="O885" s="219">
        <v>0.1767</v>
      </c>
      <c r="P885" s="15">
        <f t="shared" ref="G885:P885" si="278">+P886</f>
        <v>17559300000</v>
      </c>
      <c r="Q885" s="183">
        <f t="shared" si="274"/>
        <v>0.90283244081483882</v>
      </c>
      <c r="R885" s="359">
        <f>+R886</f>
        <v>17559300000</v>
      </c>
    </row>
    <row r="886" spans="1:18" s="177" customFormat="1">
      <c r="A886" s="79"/>
      <c r="B886" s="80"/>
      <c r="C886" s="79" t="s">
        <v>1901</v>
      </c>
      <c r="D886" s="28" t="s">
        <v>346</v>
      </c>
      <c r="E886" s="29" t="s">
        <v>347</v>
      </c>
      <c r="F886" s="227">
        <v>1597687000</v>
      </c>
      <c r="G886" s="225" t="s">
        <v>48</v>
      </c>
      <c r="H886" s="228">
        <v>108507322</v>
      </c>
      <c r="I886" s="228">
        <v>1706194322</v>
      </c>
      <c r="J886" s="228">
        <v>968888333</v>
      </c>
      <c r="K886" s="228">
        <v>130000000</v>
      </c>
      <c r="L886" s="228">
        <v>301547822</v>
      </c>
      <c r="M886" s="228">
        <v>17289000</v>
      </c>
      <c r="N886" s="228">
        <v>171547822</v>
      </c>
      <c r="O886" s="226">
        <v>0.1767</v>
      </c>
      <c r="P886" s="30">
        <v>17559300000</v>
      </c>
      <c r="Q886" s="183">
        <f t="shared" si="274"/>
        <v>0.90283244081483882</v>
      </c>
      <c r="R886" s="171">
        <v>17559300000</v>
      </c>
    </row>
    <row r="887" spans="1:18" s="175" customFormat="1">
      <c r="A887" s="61" t="s">
        <v>1903</v>
      </c>
      <c r="B887" s="61" t="s">
        <v>1904</v>
      </c>
      <c r="C887" s="61" t="s">
        <v>1905</v>
      </c>
      <c r="D887" s="61"/>
      <c r="E887" s="61" t="s">
        <v>1906</v>
      </c>
      <c r="F887" s="191">
        <v>848561000</v>
      </c>
      <c r="G887" s="192" t="s">
        <v>35</v>
      </c>
      <c r="H887" s="193">
        <v>-76107276</v>
      </c>
      <c r="I887" s="193">
        <v>772453724</v>
      </c>
      <c r="J887" s="193">
        <v>737472216</v>
      </c>
      <c r="K887" s="192" t="s">
        <v>314</v>
      </c>
      <c r="L887" s="193">
        <v>737472216</v>
      </c>
      <c r="M887" s="192" t="s">
        <v>315</v>
      </c>
      <c r="N887" s="193">
        <v>737472216</v>
      </c>
      <c r="O887" s="194">
        <v>0.95469999999999999</v>
      </c>
      <c r="P887" s="62">
        <f t="shared" ref="F887:P887" si="279">+P888+P896</f>
        <v>901305220</v>
      </c>
      <c r="Q887" s="183">
        <f t="shared" si="274"/>
        <v>0.14296100049215293</v>
      </c>
      <c r="R887" s="341">
        <f>+R888+R896</f>
        <v>901305220</v>
      </c>
    </row>
    <row r="888" spans="1:18" s="175" customFormat="1">
      <c r="A888" s="103" t="s">
        <v>1907</v>
      </c>
      <c r="B888" s="104" t="s">
        <v>1908</v>
      </c>
      <c r="C888" s="43" t="s">
        <v>1909</v>
      </c>
      <c r="D888" s="105"/>
      <c r="E888" s="42" t="s">
        <v>1910</v>
      </c>
      <c r="F888" s="288">
        <v>848561000</v>
      </c>
      <c r="G888" s="289" t="s">
        <v>35</v>
      </c>
      <c r="H888" s="290">
        <v>-76107276</v>
      </c>
      <c r="I888" s="290">
        <v>772453724</v>
      </c>
      <c r="J888" s="290">
        <v>737472216</v>
      </c>
      <c r="K888" s="289" t="s">
        <v>314</v>
      </c>
      <c r="L888" s="290">
        <v>737472216</v>
      </c>
      <c r="M888" s="289" t="s">
        <v>315</v>
      </c>
      <c r="N888" s="290">
        <v>737472216</v>
      </c>
      <c r="O888" s="291">
        <v>0.95469999999999999</v>
      </c>
      <c r="P888" s="106">
        <f t="shared" ref="G888:P888" si="280">+P889+P891</f>
        <v>901305220</v>
      </c>
      <c r="Q888" s="183">
        <f t="shared" si="274"/>
        <v>0.14296100049215293</v>
      </c>
      <c r="R888" s="361">
        <f>+R889+R891</f>
        <v>901305220</v>
      </c>
    </row>
    <row r="889" spans="1:18">
      <c r="A889" s="107" t="s">
        <v>1911</v>
      </c>
      <c r="B889" s="108"/>
      <c r="C889" s="109" t="s">
        <v>1912</v>
      </c>
      <c r="D889" s="44"/>
      <c r="E889" s="45" t="s">
        <v>1913</v>
      </c>
      <c r="F889" s="292" t="s">
        <v>475</v>
      </c>
      <c r="G889" s="294" t="s">
        <v>35</v>
      </c>
      <c r="H889" s="294" t="s">
        <v>35</v>
      </c>
      <c r="I889" s="294" t="s">
        <v>475</v>
      </c>
      <c r="J889" s="294" t="s">
        <v>476</v>
      </c>
      <c r="K889" s="294" t="s">
        <v>314</v>
      </c>
      <c r="L889" s="294" t="s">
        <v>314</v>
      </c>
      <c r="M889" s="294" t="s">
        <v>315</v>
      </c>
      <c r="N889" s="294" t="s">
        <v>448</v>
      </c>
      <c r="O889" s="296">
        <v>0</v>
      </c>
      <c r="P889" s="110">
        <f t="shared" ref="G889:P889" si="281">+P890</f>
        <v>0</v>
      </c>
      <c r="Q889" s="183" t="e">
        <f t="shared" si="274"/>
        <v>#VALUE!</v>
      </c>
      <c r="R889" s="362">
        <f>+R890</f>
        <v>0</v>
      </c>
    </row>
    <row r="890" spans="1:18" s="176" customFormat="1">
      <c r="A890" s="101" t="s">
        <v>1914</v>
      </c>
      <c r="B890" s="102"/>
      <c r="C890" s="101" t="s">
        <v>1915</v>
      </c>
      <c r="D890" s="26"/>
      <c r="E890" s="23" t="s">
        <v>1916</v>
      </c>
      <c r="F890" s="215" t="s">
        <v>304</v>
      </c>
      <c r="G890" s="217" t="s">
        <v>48</v>
      </c>
      <c r="H890" s="217" t="s">
        <v>48</v>
      </c>
      <c r="I890" s="217" t="s">
        <v>304</v>
      </c>
      <c r="J890" s="217" t="s">
        <v>305</v>
      </c>
      <c r="K890" s="217" t="s">
        <v>112</v>
      </c>
      <c r="L890" s="217" t="s">
        <v>112</v>
      </c>
      <c r="M890" s="217" t="s">
        <v>113</v>
      </c>
      <c r="N890" s="217" t="s">
        <v>114</v>
      </c>
      <c r="O890" s="219">
        <v>0</v>
      </c>
      <c r="P890" s="15"/>
      <c r="Q890" s="183" t="e">
        <f t="shared" si="274"/>
        <v>#VALUE!</v>
      </c>
      <c r="R890" s="359"/>
    </row>
    <row r="891" spans="1:18">
      <c r="A891" s="107" t="s">
        <v>1917</v>
      </c>
      <c r="B891" s="108" t="s">
        <v>1918</v>
      </c>
      <c r="C891" s="109" t="s">
        <v>1919</v>
      </c>
      <c r="D891" s="44"/>
      <c r="E891" s="45" t="s">
        <v>1920</v>
      </c>
      <c r="F891" s="293">
        <v>848561000</v>
      </c>
      <c r="G891" s="294" t="s">
        <v>35</v>
      </c>
      <c r="H891" s="295">
        <v>-76107276</v>
      </c>
      <c r="I891" s="295">
        <v>772453724</v>
      </c>
      <c r="J891" s="295">
        <v>737472216</v>
      </c>
      <c r="K891" s="294" t="s">
        <v>314</v>
      </c>
      <c r="L891" s="295">
        <v>737472216</v>
      </c>
      <c r="M891" s="294" t="s">
        <v>315</v>
      </c>
      <c r="N891" s="295">
        <v>737472216</v>
      </c>
      <c r="O891" s="296">
        <v>0.95469999999999999</v>
      </c>
      <c r="P891" s="110">
        <f t="shared" ref="G891:P891" si="282">+P892+P894</f>
        <v>901305220</v>
      </c>
      <c r="Q891" s="183">
        <f t="shared" si="274"/>
        <v>0.14296100049215293</v>
      </c>
      <c r="R891" s="362">
        <f>+R892+R894</f>
        <v>901305220</v>
      </c>
    </row>
    <row r="892" spans="1:18" s="176" customFormat="1">
      <c r="A892" s="101" t="s">
        <v>1921</v>
      </c>
      <c r="B892" s="102" t="s">
        <v>1922</v>
      </c>
      <c r="C892" s="101" t="s">
        <v>1923</v>
      </c>
      <c r="D892" s="26"/>
      <c r="E892" s="23" t="s">
        <v>1924</v>
      </c>
      <c r="F892" s="216">
        <v>398000</v>
      </c>
      <c r="G892" s="217" t="s">
        <v>48</v>
      </c>
      <c r="H892" s="218">
        <v>1510000</v>
      </c>
      <c r="I892" s="218">
        <v>1908000</v>
      </c>
      <c r="J892" s="218">
        <v>1813000</v>
      </c>
      <c r="K892" s="217" t="s">
        <v>112</v>
      </c>
      <c r="L892" s="218">
        <v>1813000</v>
      </c>
      <c r="M892" s="217" t="s">
        <v>113</v>
      </c>
      <c r="N892" s="218">
        <v>1813000</v>
      </c>
      <c r="O892" s="219">
        <v>0.95020000000000004</v>
      </c>
      <c r="P892" s="15">
        <f t="shared" ref="G892:P892" si="283">+P893</f>
        <v>14974885</v>
      </c>
      <c r="Q892" s="183">
        <f t="shared" si="274"/>
        <v>0.8725866676104691</v>
      </c>
      <c r="R892" s="359">
        <f>+R893</f>
        <v>14974885</v>
      </c>
    </row>
    <row r="893" spans="1:18" s="177" customFormat="1">
      <c r="A893" s="79"/>
      <c r="B893" s="80"/>
      <c r="C893" s="79" t="s">
        <v>1923</v>
      </c>
      <c r="D893" s="28" t="s">
        <v>1101</v>
      </c>
      <c r="E893" s="29" t="s">
        <v>1102</v>
      </c>
      <c r="F893" s="227">
        <v>398000</v>
      </c>
      <c r="G893" s="225" t="s">
        <v>48</v>
      </c>
      <c r="H893" s="228">
        <v>1510000</v>
      </c>
      <c r="I893" s="228">
        <v>1908000</v>
      </c>
      <c r="J893" s="228">
        <v>1813000</v>
      </c>
      <c r="K893" s="225" t="s">
        <v>112</v>
      </c>
      <c r="L893" s="228">
        <v>1813000</v>
      </c>
      <c r="M893" s="225" t="s">
        <v>113</v>
      </c>
      <c r="N893" s="228">
        <v>1813000</v>
      </c>
      <c r="O893" s="226">
        <v>0.95020000000000004</v>
      </c>
      <c r="P893" s="30">
        <v>14974885</v>
      </c>
      <c r="Q893" s="183">
        <f t="shared" si="274"/>
        <v>0.8725866676104691</v>
      </c>
      <c r="R893" s="171">
        <v>14974885</v>
      </c>
    </row>
    <row r="894" spans="1:18" s="176" customFormat="1">
      <c r="A894" s="101" t="s">
        <v>1925</v>
      </c>
      <c r="B894" s="102" t="s">
        <v>1926</v>
      </c>
      <c r="C894" s="101" t="s">
        <v>1927</v>
      </c>
      <c r="D894" s="26"/>
      <c r="E894" s="23" t="s">
        <v>1928</v>
      </c>
      <c r="F894" s="216">
        <v>848163000</v>
      </c>
      <c r="G894" s="217" t="s">
        <v>48</v>
      </c>
      <c r="H894" s="218">
        <v>-77617276</v>
      </c>
      <c r="I894" s="218">
        <v>770545724</v>
      </c>
      <c r="J894" s="218">
        <v>735659216</v>
      </c>
      <c r="K894" s="217" t="s">
        <v>112</v>
      </c>
      <c r="L894" s="218">
        <v>735659216</v>
      </c>
      <c r="M894" s="217" t="s">
        <v>113</v>
      </c>
      <c r="N894" s="218">
        <v>735659216</v>
      </c>
      <c r="O894" s="219">
        <v>0.95469999999999999</v>
      </c>
      <c r="P894" s="15">
        <f t="shared" ref="G894:P894" si="284">+P895</f>
        <v>886330335</v>
      </c>
      <c r="Q894" s="183">
        <f t="shared" si="274"/>
        <v>0.13063369990602883</v>
      </c>
      <c r="R894" s="359">
        <f>+R895</f>
        <v>886330335</v>
      </c>
    </row>
    <row r="895" spans="1:18" s="177" customFormat="1">
      <c r="A895" s="79"/>
      <c r="B895" s="80"/>
      <c r="C895" s="79" t="s">
        <v>1927</v>
      </c>
      <c r="D895" s="28" t="s">
        <v>1101</v>
      </c>
      <c r="E895" s="29" t="s">
        <v>1102</v>
      </c>
      <c r="F895" s="227">
        <v>848163000</v>
      </c>
      <c r="G895" s="225" t="s">
        <v>48</v>
      </c>
      <c r="H895" s="228">
        <v>-77617276</v>
      </c>
      <c r="I895" s="228">
        <v>770545724</v>
      </c>
      <c r="J895" s="228">
        <v>735659216</v>
      </c>
      <c r="K895" s="225" t="s">
        <v>112</v>
      </c>
      <c r="L895" s="228">
        <v>735659216</v>
      </c>
      <c r="M895" s="225" t="s">
        <v>113</v>
      </c>
      <c r="N895" s="228">
        <v>735659216</v>
      </c>
      <c r="O895" s="226">
        <v>0.95469999999999999</v>
      </c>
      <c r="P895" s="30">
        <v>886330335</v>
      </c>
      <c r="Q895" s="183">
        <f t="shared" si="274"/>
        <v>0.13063369990602883</v>
      </c>
      <c r="R895" s="171">
        <v>886330335</v>
      </c>
    </row>
    <row r="896" spans="1:18" s="175" customFormat="1">
      <c r="A896" s="103" t="s">
        <v>1929</v>
      </c>
      <c r="B896" s="104" t="s">
        <v>1930</v>
      </c>
      <c r="C896" s="43" t="s">
        <v>1931</v>
      </c>
      <c r="D896" s="105"/>
      <c r="E896" s="42" t="s">
        <v>1932</v>
      </c>
      <c r="F896" s="304" t="s">
        <v>475</v>
      </c>
      <c r="G896" s="306" t="s">
        <v>35</v>
      </c>
      <c r="H896" s="306" t="s">
        <v>35</v>
      </c>
      <c r="I896" s="306" t="s">
        <v>475</v>
      </c>
      <c r="J896" s="306" t="s">
        <v>476</v>
      </c>
      <c r="K896" s="306" t="s">
        <v>314</v>
      </c>
      <c r="L896" s="306" t="s">
        <v>314</v>
      </c>
      <c r="M896" s="306" t="s">
        <v>315</v>
      </c>
      <c r="N896" s="306" t="s">
        <v>448</v>
      </c>
      <c r="O896" s="308">
        <v>0</v>
      </c>
      <c r="P896" s="106">
        <f t="shared" ref="G896:P896" si="285">+P897</f>
        <v>0</v>
      </c>
      <c r="Q896" s="183" t="e">
        <f t="shared" si="274"/>
        <v>#VALUE!</v>
      </c>
      <c r="R896" s="361">
        <f>+R897</f>
        <v>0</v>
      </c>
    </row>
    <row r="897" spans="1:18">
      <c r="A897" s="107" t="s">
        <v>1933</v>
      </c>
      <c r="B897" s="108" t="s">
        <v>1934</v>
      </c>
      <c r="C897" s="109" t="s">
        <v>1935</v>
      </c>
      <c r="D897" s="44"/>
      <c r="E897" s="45" t="s">
        <v>1936</v>
      </c>
      <c r="F897" s="292" t="s">
        <v>475</v>
      </c>
      <c r="G897" s="294" t="s">
        <v>35</v>
      </c>
      <c r="H897" s="294" t="s">
        <v>35</v>
      </c>
      <c r="I897" s="294" t="s">
        <v>475</v>
      </c>
      <c r="J897" s="294" t="s">
        <v>476</v>
      </c>
      <c r="K897" s="294" t="s">
        <v>314</v>
      </c>
      <c r="L897" s="294" t="s">
        <v>314</v>
      </c>
      <c r="M897" s="294" t="s">
        <v>315</v>
      </c>
      <c r="N897" s="294" t="s">
        <v>448</v>
      </c>
      <c r="O897" s="296">
        <v>0</v>
      </c>
      <c r="P897" s="110">
        <f t="shared" ref="G897:P897" si="286">+P898+P899</f>
        <v>0</v>
      </c>
      <c r="Q897" s="183" t="e">
        <f t="shared" si="274"/>
        <v>#VALUE!</v>
      </c>
      <c r="R897" s="362">
        <f>+R898+R899</f>
        <v>0</v>
      </c>
    </row>
    <row r="898" spans="1:18" s="176" customFormat="1">
      <c r="A898" s="101" t="s">
        <v>1937</v>
      </c>
      <c r="B898" s="102"/>
      <c r="C898" s="101" t="s">
        <v>1938</v>
      </c>
      <c r="D898" s="26"/>
      <c r="E898" s="23" t="s">
        <v>1939</v>
      </c>
      <c r="F898" s="215" t="s">
        <v>304</v>
      </c>
      <c r="G898" s="217" t="s">
        <v>48</v>
      </c>
      <c r="H898" s="217" t="s">
        <v>48</v>
      </c>
      <c r="I898" s="217" t="s">
        <v>304</v>
      </c>
      <c r="J898" s="217" t="s">
        <v>305</v>
      </c>
      <c r="K898" s="217" t="s">
        <v>112</v>
      </c>
      <c r="L898" s="217" t="s">
        <v>112</v>
      </c>
      <c r="M898" s="217" t="s">
        <v>113</v>
      </c>
      <c r="N898" s="217" t="s">
        <v>114</v>
      </c>
      <c r="O898" s="219">
        <v>0</v>
      </c>
      <c r="P898" s="15"/>
      <c r="Q898" s="183" t="e">
        <f t="shared" si="274"/>
        <v>#VALUE!</v>
      </c>
      <c r="R898" s="359"/>
    </row>
    <row r="899" spans="1:18" s="177" customFormat="1">
      <c r="A899" s="101" t="s">
        <v>1940</v>
      </c>
      <c r="B899" s="102" t="s">
        <v>1941</v>
      </c>
      <c r="C899" s="101" t="s">
        <v>1942</v>
      </c>
      <c r="D899" s="26"/>
      <c r="E899" s="23" t="s">
        <v>1943</v>
      </c>
      <c r="F899" s="215" t="s">
        <v>304</v>
      </c>
      <c r="G899" s="217" t="s">
        <v>48</v>
      </c>
      <c r="H899" s="217" t="s">
        <v>48</v>
      </c>
      <c r="I899" s="217" t="s">
        <v>304</v>
      </c>
      <c r="J899" s="217" t="s">
        <v>305</v>
      </c>
      <c r="K899" s="217" t="s">
        <v>112</v>
      </c>
      <c r="L899" s="217" t="s">
        <v>112</v>
      </c>
      <c r="M899" s="217" t="s">
        <v>113</v>
      </c>
      <c r="N899" s="217" t="s">
        <v>114</v>
      </c>
      <c r="O899" s="219">
        <v>0</v>
      </c>
      <c r="P899" s="15"/>
      <c r="Q899" s="183" t="e">
        <f t="shared" si="274"/>
        <v>#VALUE!</v>
      </c>
      <c r="R899" s="359"/>
    </row>
    <row r="900" spans="1:18" s="177" customFormat="1">
      <c r="A900" s="19"/>
      <c r="B900" s="139" t="s">
        <v>1944</v>
      </c>
      <c r="C900" s="19"/>
      <c r="D900" s="60"/>
      <c r="E900" s="19" t="s">
        <v>1945</v>
      </c>
      <c r="F900" s="6">
        <f t="shared" ref="F900:P900" si="287">+F901+F1237+F1743+F1761+F1767</f>
        <v>37757084000</v>
      </c>
      <c r="G900" s="189">
        <v>5325214000</v>
      </c>
      <c r="H900" s="6">
        <f t="shared" si="287"/>
        <v>16759450809</v>
      </c>
      <c r="I900" s="189">
        <v>55266534809</v>
      </c>
      <c r="J900" s="6">
        <f t="shared" si="287"/>
        <v>38103781456</v>
      </c>
      <c r="K900" s="189">
        <v>2983820730</v>
      </c>
      <c r="L900" s="6">
        <f t="shared" si="287"/>
        <v>29118245729</v>
      </c>
      <c r="M900" s="189">
        <v>2006137153</v>
      </c>
      <c r="N900" s="6">
        <f t="shared" si="287"/>
        <v>10824142510</v>
      </c>
      <c r="O900" s="190">
        <v>0.52739999999999998</v>
      </c>
      <c r="P900" s="6">
        <f t="shared" si="287"/>
        <v>0</v>
      </c>
      <c r="Q900" s="183" t="e">
        <f t="shared" si="274"/>
        <v>#DIV/0!</v>
      </c>
      <c r="R900" s="340">
        <f>+R901+R1237+R1743+R1761+R1767</f>
        <v>0</v>
      </c>
    </row>
    <row r="901" spans="1:18">
      <c r="A901" s="129" t="s">
        <v>1946</v>
      </c>
      <c r="B901" s="129" t="s">
        <v>1947</v>
      </c>
      <c r="C901" s="129" t="s">
        <v>1948</v>
      </c>
      <c r="D901" s="130"/>
      <c r="E901" s="129" t="s">
        <v>1949</v>
      </c>
      <c r="F901" s="309">
        <v>37757084000</v>
      </c>
      <c r="G901" s="310">
        <v>5325214000</v>
      </c>
      <c r="H901" s="310">
        <v>16759450809</v>
      </c>
      <c r="I901" s="310">
        <v>54516534809</v>
      </c>
      <c r="J901" s="310">
        <v>38103781456</v>
      </c>
      <c r="K901" s="310">
        <v>2953070730</v>
      </c>
      <c r="L901" s="310">
        <v>29118245729</v>
      </c>
      <c r="M901" s="310">
        <v>2006137153</v>
      </c>
      <c r="N901" s="310">
        <v>10824142510</v>
      </c>
      <c r="O901" s="311">
        <v>0.53410000000000002</v>
      </c>
      <c r="P901" s="131">
        <f t="shared" ref="G901:P901" si="288">P902</f>
        <v>0</v>
      </c>
      <c r="Q901" s="183" t="e">
        <f t="shared" si="274"/>
        <v>#DIV/0!</v>
      </c>
      <c r="R901" s="365">
        <f>R902</f>
        <v>0</v>
      </c>
    </row>
    <row r="902" spans="1:18">
      <c r="A902" s="132" t="s">
        <v>1950</v>
      </c>
      <c r="B902" s="132" t="s">
        <v>1951</v>
      </c>
      <c r="C902" s="132" t="s">
        <v>1952</v>
      </c>
      <c r="D902" s="133"/>
      <c r="E902" s="132" t="s">
        <v>1953</v>
      </c>
      <c r="F902" s="312">
        <v>37757084000</v>
      </c>
      <c r="G902" s="313">
        <v>5325214000</v>
      </c>
      <c r="H902" s="313">
        <v>16759450809</v>
      </c>
      <c r="I902" s="313">
        <v>54516534809</v>
      </c>
      <c r="J902" s="313">
        <v>38103781456</v>
      </c>
      <c r="K902" s="313">
        <v>2953070730</v>
      </c>
      <c r="L902" s="313">
        <v>29118245729</v>
      </c>
      <c r="M902" s="313">
        <v>2006137153</v>
      </c>
      <c r="N902" s="313">
        <v>10824142510</v>
      </c>
      <c r="O902" s="314">
        <v>0.53410000000000002</v>
      </c>
      <c r="P902" s="134">
        <f t="shared" ref="G902:P903" si="289">+P903</f>
        <v>0</v>
      </c>
      <c r="Q902" s="183" t="e">
        <f t="shared" si="274"/>
        <v>#DIV/0!</v>
      </c>
      <c r="R902" s="366">
        <f>+R903</f>
        <v>0</v>
      </c>
    </row>
    <row r="903" spans="1:18">
      <c r="A903" s="46" t="s">
        <v>1954</v>
      </c>
      <c r="B903" s="46" t="s">
        <v>1955</v>
      </c>
      <c r="C903" s="46" t="s">
        <v>1956</v>
      </c>
      <c r="D903" s="119"/>
      <c r="E903" s="46" t="s">
        <v>1957</v>
      </c>
      <c r="F903" s="315">
        <v>37757084000</v>
      </c>
      <c r="G903" s="316">
        <v>5325214000</v>
      </c>
      <c r="H903" s="316">
        <v>16759450809</v>
      </c>
      <c r="I903" s="316">
        <v>54516534809</v>
      </c>
      <c r="J903" s="316">
        <v>38103781456</v>
      </c>
      <c r="K903" s="316">
        <v>2953070730</v>
      </c>
      <c r="L903" s="316">
        <v>29118245729</v>
      </c>
      <c r="M903" s="316">
        <v>2006137153</v>
      </c>
      <c r="N903" s="316">
        <v>10824142510</v>
      </c>
      <c r="O903" s="317">
        <v>0.53410000000000002</v>
      </c>
      <c r="P903" s="120">
        <f t="shared" si="289"/>
        <v>0</v>
      </c>
      <c r="Q903" s="183" t="e">
        <f t="shared" si="274"/>
        <v>#DIV/0!</v>
      </c>
      <c r="R903" s="367">
        <f>+R904</f>
        <v>0</v>
      </c>
    </row>
    <row r="904" spans="1:18">
      <c r="A904" s="47" t="s">
        <v>1958</v>
      </c>
      <c r="B904" s="47" t="s">
        <v>1959</v>
      </c>
      <c r="C904" s="47" t="s">
        <v>1960</v>
      </c>
      <c r="D904" s="121"/>
      <c r="E904" s="47" t="s">
        <v>1961</v>
      </c>
      <c r="F904" s="318">
        <v>37757084000</v>
      </c>
      <c r="G904" s="319">
        <v>5325214000</v>
      </c>
      <c r="H904" s="319">
        <v>16759450809</v>
      </c>
      <c r="I904" s="319">
        <v>54516534809</v>
      </c>
      <c r="J904" s="319">
        <v>38103781456</v>
      </c>
      <c r="K904" s="319">
        <v>2953070730</v>
      </c>
      <c r="L904" s="319">
        <v>29118245729</v>
      </c>
      <c r="M904" s="319">
        <v>2006137153</v>
      </c>
      <c r="N904" s="319">
        <v>10824142510</v>
      </c>
      <c r="O904" s="320">
        <v>0.53410000000000002</v>
      </c>
      <c r="P904" s="122">
        <f t="shared" ref="G904:P904" si="290">SUM(P905:P913)</f>
        <v>0</v>
      </c>
      <c r="Q904" s="183" t="e">
        <f t="shared" si="274"/>
        <v>#DIV/0!</v>
      </c>
      <c r="R904" s="368">
        <f>SUM(R905:R913)</f>
        <v>0</v>
      </c>
    </row>
    <row r="905" spans="1:18">
      <c r="A905" s="101" t="s">
        <v>1962</v>
      </c>
      <c r="B905" s="102" t="s">
        <v>1963</v>
      </c>
      <c r="C905" s="101" t="s">
        <v>1964</v>
      </c>
      <c r="D905" s="26" t="s">
        <v>1440</v>
      </c>
      <c r="E905" s="23" t="s">
        <v>1965</v>
      </c>
      <c r="F905" s="215" t="s">
        <v>304</v>
      </c>
      <c r="G905" s="218">
        <v>610000000</v>
      </c>
      <c r="H905" s="218">
        <v>928321070</v>
      </c>
      <c r="I905" s="218">
        <v>928321070</v>
      </c>
      <c r="J905" s="218">
        <v>199696660</v>
      </c>
      <c r="K905" s="217" t="s">
        <v>112</v>
      </c>
      <c r="L905" s="218">
        <v>199696660</v>
      </c>
      <c r="M905" s="218">
        <v>17228534</v>
      </c>
      <c r="N905" s="218">
        <v>17228534</v>
      </c>
      <c r="O905" s="219">
        <v>0.21510000000000001</v>
      </c>
      <c r="P905" s="15"/>
      <c r="Q905" s="183" t="e">
        <f t="shared" si="274"/>
        <v>#DIV/0!</v>
      </c>
      <c r="R905" s="359"/>
    </row>
    <row r="906" spans="1:18">
      <c r="A906" s="101" t="s">
        <v>1966</v>
      </c>
      <c r="B906" s="102" t="s">
        <v>1967</v>
      </c>
      <c r="C906" s="101" t="s">
        <v>1968</v>
      </c>
      <c r="D906" s="26" t="s">
        <v>1440</v>
      </c>
      <c r="E906" s="23" t="s">
        <v>1969</v>
      </c>
      <c r="F906" s="216">
        <v>13676348000</v>
      </c>
      <c r="G906" s="217" t="s">
        <v>48</v>
      </c>
      <c r="H906" s="218">
        <v>1150336706</v>
      </c>
      <c r="I906" s="218">
        <v>14826684706</v>
      </c>
      <c r="J906" s="218">
        <v>8250642495</v>
      </c>
      <c r="K906" s="218">
        <v>875335925</v>
      </c>
      <c r="L906" s="218">
        <v>4847499740</v>
      </c>
      <c r="M906" s="218">
        <v>547770226</v>
      </c>
      <c r="N906" s="218">
        <v>1660756556</v>
      </c>
      <c r="O906" s="219">
        <v>0.32690000000000002</v>
      </c>
      <c r="P906" s="15"/>
      <c r="Q906" s="183" t="e">
        <f t="shared" si="274"/>
        <v>#DIV/0!</v>
      </c>
      <c r="R906" s="359"/>
    </row>
    <row r="907" spans="1:18">
      <c r="A907" s="101" t="s">
        <v>1970</v>
      </c>
      <c r="B907" s="102" t="s">
        <v>1971</v>
      </c>
      <c r="C907" s="101" t="s">
        <v>1972</v>
      </c>
      <c r="D907" s="26" t="s">
        <v>1440</v>
      </c>
      <c r="E907" s="23" t="s">
        <v>1973</v>
      </c>
      <c r="F907" s="216">
        <v>1500000000</v>
      </c>
      <c r="G907" s="217" t="s">
        <v>48</v>
      </c>
      <c r="H907" s="217" t="s">
        <v>48</v>
      </c>
      <c r="I907" s="218">
        <v>1500000000</v>
      </c>
      <c r="J907" s="218">
        <v>1131903637</v>
      </c>
      <c r="K907" s="217" t="s">
        <v>112</v>
      </c>
      <c r="L907" s="218">
        <v>1097312881</v>
      </c>
      <c r="M907" s="218">
        <v>106780153</v>
      </c>
      <c r="N907" s="218">
        <v>623486385</v>
      </c>
      <c r="O907" s="219">
        <v>0.73150000000000004</v>
      </c>
      <c r="P907" s="15"/>
      <c r="Q907" s="183" t="e">
        <f t="shared" si="274"/>
        <v>#DIV/0!</v>
      </c>
      <c r="R907" s="359"/>
    </row>
    <row r="908" spans="1:18">
      <c r="A908" s="101" t="s">
        <v>1974</v>
      </c>
      <c r="B908" s="102" t="s">
        <v>1975</v>
      </c>
      <c r="C908" s="101" t="s">
        <v>1976</v>
      </c>
      <c r="D908" s="26" t="s">
        <v>1440</v>
      </c>
      <c r="E908" s="23" t="s">
        <v>1977</v>
      </c>
      <c r="F908" s="216">
        <v>5739755000</v>
      </c>
      <c r="G908" s="218">
        <v>297000000</v>
      </c>
      <c r="H908" s="218">
        <v>297000000</v>
      </c>
      <c r="I908" s="218">
        <v>6036755000</v>
      </c>
      <c r="J908" s="218">
        <v>5032016452</v>
      </c>
      <c r="K908" s="218">
        <v>316182808</v>
      </c>
      <c r="L908" s="218">
        <v>4372495287</v>
      </c>
      <c r="M908" s="218">
        <v>551409443</v>
      </c>
      <c r="N908" s="218">
        <v>3083851805</v>
      </c>
      <c r="O908" s="219">
        <v>0.72430000000000005</v>
      </c>
      <c r="P908" s="15"/>
      <c r="Q908" s="183" t="e">
        <f t="shared" si="274"/>
        <v>#DIV/0!</v>
      </c>
      <c r="R908" s="359"/>
    </row>
    <row r="909" spans="1:18">
      <c r="A909" s="101" t="s">
        <v>1978</v>
      </c>
      <c r="B909" s="102" t="s">
        <v>1979</v>
      </c>
      <c r="C909" s="101" t="s">
        <v>1980</v>
      </c>
      <c r="D909" s="26" t="s">
        <v>1440</v>
      </c>
      <c r="E909" s="23" t="s">
        <v>1981</v>
      </c>
      <c r="F909" s="216">
        <v>2477251000</v>
      </c>
      <c r="G909" s="217" t="s">
        <v>48</v>
      </c>
      <c r="H909" s="218">
        <v>7259000</v>
      </c>
      <c r="I909" s="218">
        <v>2484510000</v>
      </c>
      <c r="J909" s="218">
        <v>1723561934</v>
      </c>
      <c r="K909" s="218">
        <v>199140921</v>
      </c>
      <c r="L909" s="218">
        <v>1674558416</v>
      </c>
      <c r="M909" s="218">
        <v>231515965</v>
      </c>
      <c r="N909" s="218">
        <v>1012174600</v>
      </c>
      <c r="O909" s="219">
        <v>0.67400000000000004</v>
      </c>
      <c r="P909" s="15"/>
      <c r="Q909" s="183" t="e">
        <f t="shared" si="274"/>
        <v>#DIV/0!</v>
      </c>
      <c r="R909" s="359"/>
    </row>
    <row r="910" spans="1:18">
      <c r="A910" s="101" t="s">
        <v>1982</v>
      </c>
      <c r="B910" s="102" t="s">
        <v>1983</v>
      </c>
      <c r="C910" s="101" t="s">
        <v>1984</v>
      </c>
      <c r="D910" s="26" t="s">
        <v>1440</v>
      </c>
      <c r="E910" s="23" t="s">
        <v>1985</v>
      </c>
      <c r="F910" s="216">
        <v>488766000</v>
      </c>
      <c r="G910" s="217" t="s">
        <v>48</v>
      </c>
      <c r="H910" s="218">
        <v>693240010</v>
      </c>
      <c r="I910" s="218">
        <v>1182006010</v>
      </c>
      <c r="J910" s="218">
        <v>1092299183</v>
      </c>
      <c r="K910" s="217" t="s">
        <v>112</v>
      </c>
      <c r="L910" s="218">
        <v>1092299183</v>
      </c>
      <c r="M910" s="218">
        <v>132347238</v>
      </c>
      <c r="N910" s="218">
        <v>489442477</v>
      </c>
      <c r="O910" s="219">
        <v>0.92410000000000003</v>
      </c>
      <c r="P910" s="15"/>
      <c r="Q910" s="183" t="e">
        <f t="shared" si="274"/>
        <v>#DIV/0!</v>
      </c>
      <c r="R910" s="359"/>
    </row>
    <row r="911" spans="1:18">
      <c r="A911" s="101" t="s">
        <v>1986</v>
      </c>
      <c r="B911" s="102" t="s">
        <v>1987</v>
      </c>
      <c r="C911" s="101" t="s">
        <v>1988</v>
      </c>
      <c r="D911" s="26" t="s">
        <v>1440</v>
      </c>
      <c r="E911" s="23" t="s">
        <v>1989</v>
      </c>
      <c r="F911" s="216">
        <v>7073869000</v>
      </c>
      <c r="G911" s="217" t="s">
        <v>48</v>
      </c>
      <c r="H911" s="218">
        <v>7070319631</v>
      </c>
      <c r="I911" s="218">
        <v>14144188631</v>
      </c>
      <c r="J911" s="218">
        <v>12131920538</v>
      </c>
      <c r="K911" s="218">
        <v>443203082</v>
      </c>
      <c r="L911" s="218">
        <v>8074238005</v>
      </c>
      <c r="M911" s="218">
        <v>278415366</v>
      </c>
      <c r="N911" s="218">
        <v>535522711</v>
      </c>
      <c r="O911" s="219">
        <v>0.57089999999999996</v>
      </c>
      <c r="P911" s="15"/>
      <c r="Q911" s="183" t="e">
        <f t="shared" si="274"/>
        <v>#DIV/0!</v>
      </c>
      <c r="R911" s="359"/>
    </row>
    <row r="912" spans="1:18">
      <c r="A912" s="101" t="s">
        <v>1990</v>
      </c>
      <c r="B912" s="102" t="s">
        <v>1991</v>
      </c>
      <c r="C912" s="101" t="s">
        <v>1992</v>
      </c>
      <c r="D912" s="26" t="s">
        <v>1440</v>
      </c>
      <c r="E912" s="23" t="s">
        <v>1993</v>
      </c>
      <c r="F912" s="216">
        <v>5113564000</v>
      </c>
      <c r="G912" s="218">
        <v>3744189000</v>
      </c>
      <c r="H912" s="218">
        <v>4121245600</v>
      </c>
      <c r="I912" s="218">
        <v>9234809600</v>
      </c>
      <c r="J912" s="218">
        <v>5248422927</v>
      </c>
      <c r="K912" s="218">
        <v>949096400</v>
      </c>
      <c r="L912" s="218">
        <v>5146952927</v>
      </c>
      <c r="M912" s="218">
        <v>78669633</v>
      </c>
      <c r="N912" s="218">
        <v>1200680650</v>
      </c>
      <c r="O912" s="219">
        <v>0.55730000000000002</v>
      </c>
      <c r="P912" s="15"/>
      <c r="Q912" s="183" t="e">
        <f t="shared" si="274"/>
        <v>#DIV/0!</v>
      </c>
      <c r="R912" s="359"/>
    </row>
    <row r="913" spans="1:18">
      <c r="A913" s="101" t="s">
        <v>1994</v>
      </c>
      <c r="B913" s="102" t="s">
        <v>1995</v>
      </c>
      <c r="C913" s="101" t="s">
        <v>1996</v>
      </c>
      <c r="D913" s="26" t="s">
        <v>1440</v>
      </c>
      <c r="E913" s="23" t="s">
        <v>1997</v>
      </c>
      <c r="F913" s="216">
        <v>1687531000</v>
      </c>
      <c r="G913" s="218">
        <v>674025000</v>
      </c>
      <c r="H913" s="218">
        <v>2491728792</v>
      </c>
      <c r="I913" s="218">
        <v>4179259792</v>
      </c>
      <c r="J913" s="218">
        <v>3293317630</v>
      </c>
      <c r="K913" s="218">
        <v>170111594</v>
      </c>
      <c r="L913" s="218">
        <v>2613192630</v>
      </c>
      <c r="M913" s="218">
        <v>62000595</v>
      </c>
      <c r="N913" s="218">
        <v>2200998792</v>
      </c>
      <c r="O913" s="219">
        <v>0.62529999999999997</v>
      </c>
      <c r="P913" s="15"/>
      <c r="Q913" s="183" t="e">
        <f t="shared" si="274"/>
        <v>#DIV/0!</v>
      </c>
      <c r="R913" s="359"/>
    </row>
    <row r="914" spans="1:18">
      <c r="A914" s="125" t="s">
        <v>1998</v>
      </c>
      <c r="B914" s="125" t="s">
        <v>1999</v>
      </c>
      <c r="C914" s="125" t="s">
        <v>2000</v>
      </c>
      <c r="D914" s="125"/>
      <c r="E914" s="125" t="s">
        <v>2001</v>
      </c>
      <c r="F914" s="321">
        <v>230000000</v>
      </c>
      <c r="G914" s="322" t="s">
        <v>35</v>
      </c>
      <c r="H914" s="323">
        <v>520000000</v>
      </c>
      <c r="I914" s="323">
        <v>750000000</v>
      </c>
      <c r="J914" s="323">
        <v>345750000</v>
      </c>
      <c r="K914" s="323">
        <v>30750000</v>
      </c>
      <c r="L914" s="323">
        <v>30750000</v>
      </c>
      <c r="M914" s="322" t="s">
        <v>315</v>
      </c>
      <c r="N914" s="322" t="s">
        <v>448</v>
      </c>
      <c r="O914" s="324">
        <v>4.1000000000000002E-2</v>
      </c>
      <c r="P914" s="126">
        <f t="shared" ref="F914:P917" si="291">+P915</f>
        <v>0</v>
      </c>
      <c r="Q914" s="183" t="e">
        <f t="shared" si="274"/>
        <v>#DIV/0!</v>
      </c>
      <c r="R914" s="369">
        <f>+R915</f>
        <v>0</v>
      </c>
    </row>
    <row r="915" spans="1:18">
      <c r="A915" s="135" t="s">
        <v>2002</v>
      </c>
      <c r="B915" s="135" t="s">
        <v>2003</v>
      </c>
      <c r="C915" s="135" t="s">
        <v>2004</v>
      </c>
      <c r="D915" s="135"/>
      <c r="E915" s="135" t="s">
        <v>2005</v>
      </c>
      <c r="F915" s="325">
        <v>230000000</v>
      </c>
      <c r="G915" s="326" t="s">
        <v>35</v>
      </c>
      <c r="H915" s="327">
        <v>520000000</v>
      </c>
      <c r="I915" s="327">
        <v>750000000</v>
      </c>
      <c r="J915" s="327">
        <v>345750000</v>
      </c>
      <c r="K915" s="327">
        <v>30750000</v>
      </c>
      <c r="L915" s="327">
        <v>30750000</v>
      </c>
      <c r="M915" s="326" t="s">
        <v>315</v>
      </c>
      <c r="N915" s="326" t="s">
        <v>448</v>
      </c>
      <c r="O915" s="328">
        <v>4.1000000000000002E-2</v>
      </c>
      <c r="P915" s="136">
        <f t="shared" si="291"/>
        <v>0</v>
      </c>
      <c r="Q915" s="183" t="e">
        <f t="shared" si="274"/>
        <v>#DIV/0!</v>
      </c>
      <c r="R915" s="370">
        <f>+R916</f>
        <v>0</v>
      </c>
    </row>
    <row r="916" spans="1:18">
      <c r="A916" s="127" t="s">
        <v>2006</v>
      </c>
      <c r="B916" s="127" t="s">
        <v>2007</v>
      </c>
      <c r="C916" s="127" t="s">
        <v>2008</v>
      </c>
      <c r="D916" s="127"/>
      <c r="E916" s="127" t="s">
        <v>2009</v>
      </c>
      <c r="F916" s="329">
        <v>230000000</v>
      </c>
      <c r="G916" s="330" t="s">
        <v>35</v>
      </c>
      <c r="H916" s="331">
        <v>520000000</v>
      </c>
      <c r="I916" s="331">
        <v>750000000</v>
      </c>
      <c r="J916" s="331">
        <v>345750000</v>
      </c>
      <c r="K916" s="331">
        <v>30750000</v>
      </c>
      <c r="L916" s="331">
        <v>30750000</v>
      </c>
      <c r="M916" s="330" t="s">
        <v>315</v>
      </c>
      <c r="N916" s="330" t="s">
        <v>448</v>
      </c>
      <c r="O916" s="332">
        <v>4.1000000000000002E-2</v>
      </c>
      <c r="P916" s="128">
        <f t="shared" si="291"/>
        <v>0</v>
      </c>
      <c r="Q916" s="183" t="e">
        <f t="shared" si="274"/>
        <v>#DIV/0!</v>
      </c>
      <c r="R916" s="371">
        <f>+R917</f>
        <v>0</v>
      </c>
    </row>
    <row r="917" spans="1:18">
      <c r="A917" s="137" t="s">
        <v>2010</v>
      </c>
      <c r="B917" s="137" t="s">
        <v>2011</v>
      </c>
      <c r="C917" s="137" t="s">
        <v>2012</v>
      </c>
      <c r="D917" s="137"/>
      <c r="E917" s="137" t="s">
        <v>2013</v>
      </c>
      <c r="F917" s="333">
        <v>230000000</v>
      </c>
      <c r="G917" s="334" t="s">
        <v>35</v>
      </c>
      <c r="H917" s="335">
        <v>520000000</v>
      </c>
      <c r="I917" s="335">
        <v>750000000</v>
      </c>
      <c r="J917" s="335">
        <v>345750000</v>
      </c>
      <c r="K917" s="335">
        <v>30750000</v>
      </c>
      <c r="L917" s="335">
        <v>30750000</v>
      </c>
      <c r="M917" s="334" t="s">
        <v>315</v>
      </c>
      <c r="N917" s="334" t="s">
        <v>448</v>
      </c>
      <c r="O917" s="336">
        <v>4.1000000000000002E-2</v>
      </c>
      <c r="P917" s="138">
        <f t="shared" si="291"/>
        <v>0</v>
      </c>
      <c r="Q917" s="183" t="e">
        <f t="shared" si="274"/>
        <v>#DIV/0!</v>
      </c>
      <c r="R917" s="372">
        <f>+R918</f>
        <v>0</v>
      </c>
    </row>
    <row r="918" spans="1:18">
      <c r="A918" s="72" t="s">
        <v>2014</v>
      </c>
      <c r="B918" s="73" t="s">
        <v>2015</v>
      </c>
      <c r="C918" s="74" t="s">
        <v>2016</v>
      </c>
      <c r="D918" s="75"/>
      <c r="E918" s="20" t="s">
        <v>2017</v>
      </c>
      <c r="F918" s="206">
        <v>230000000</v>
      </c>
      <c r="G918" s="207" t="s">
        <v>35</v>
      </c>
      <c r="H918" s="208">
        <v>520000000</v>
      </c>
      <c r="I918" s="208">
        <v>750000000</v>
      </c>
      <c r="J918" s="208">
        <v>345750000</v>
      </c>
      <c r="K918" s="208">
        <v>30750000</v>
      </c>
      <c r="L918" s="208">
        <v>30750000</v>
      </c>
      <c r="M918" s="207" t="s">
        <v>315</v>
      </c>
      <c r="N918" s="207" t="s">
        <v>448</v>
      </c>
      <c r="O918" s="209">
        <v>4.1000000000000002E-2</v>
      </c>
      <c r="P918" s="76">
        <f t="shared" ref="F918:P918" si="292">+P919+P921</f>
        <v>0</v>
      </c>
      <c r="Q918" s="183" t="e">
        <f t="shared" si="274"/>
        <v>#DIV/0!</v>
      </c>
      <c r="R918" s="345">
        <f>+R919+R921</f>
        <v>0</v>
      </c>
    </row>
    <row r="919" spans="1:18">
      <c r="A919" s="94" t="s">
        <v>2018</v>
      </c>
      <c r="B919" s="16"/>
      <c r="C919" s="12" t="s">
        <v>2019</v>
      </c>
      <c r="D919" s="24"/>
      <c r="E919" s="11" t="s">
        <v>2020</v>
      </c>
      <c r="F919" s="211">
        <v>30000000</v>
      </c>
      <c r="G919" s="212" t="s">
        <v>35</v>
      </c>
      <c r="H919" s="213">
        <v>20000000</v>
      </c>
      <c r="I919" s="213">
        <v>50000000</v>
      </c>
      <c r="J919" s="213">
        <v>30750000</v>
      </c>
      <c r="K919" s="213">
        <v>30750000</v>
      </c>
      <c r="L919" s="213">
        <v>30750000</v>
      </c>
      <c r="M919" s="212" t="s">
        <v>315</v>
      </c>
      <c r="N919" s="212" t="s">
        <v>448</v>
      </c>
      <c r="O919" s="214">
        <v>0.61499999999999999</v>
      </c>
      <c r="P919" s="13">
        <f t="shared" ref="F919:P919" si="293">+P920</f>
        <v>0</v>
      </c>
      <c r="Q919" s="183" t="e">
        <f t="shared" si="274"/>
        <v>#DIV/0!</v>
      </c>
      <c r="R919" s="349">
        <f>+R920</f>
        <v>0</v>
      </c>
    </row>
    <row r="920" spans="1:18">
      <c r="A920" s="101"/>
      <c r="B920" s="102" t="s">
        <v>2021</v>
      </c>
      <c r="C920" s="101" t="s">
        <v>2022</v>
      </c>
      <c r="D920" s="26" t="s">
        <v>1250</v>
      </c>
      <c r="E920" s="23" t="s">
        <v>2023</v>
      </c>
      <c r="F920" s="216">
        <v>30000000</v>
      </c>
      <c r="G920" s="217" t="s">
        <v>48</v>
      </c>
      <c r="H920" s="218">
        <v>20000000</v>
      </c>
      <c r="I920" s="218">
        <v>50000000</v>
      </c>
      <c r="J920" s="218">
        <v>30750000</v>
      </c>
      <c r="K920" s="218">
        <v>30750000</v>
      </c>
      <c r="L920" s="218">
        <v>30750000</v>
      </c>
      <c r="M920" s="217" t="s">
        <v>113</v>
      </c>
      <c r="N920" s="217" t="s">
        <v>114</v>
      </c>
      <c r="O920" s="219">
        <v>0.61499999999999999</v>
      </c>
      <c r="P920" s="15"/>
      <c r="Q920" s="183" t="e">
        <f t="shared" si="274"/>
        <v>#DIV/0!</v>
      </c>
      <c r="R920" s="359"/>
    </row>
    <row r="921" spans="1:18">
      <c r="A921" s="94" t="s">
        <v>2024</v>
      </c>
      <c r="B921" s="16"/>
      <c r="C921" s="12" t="s">
        <v>2025</v>
      </c>
      <c r="D921" s="24"/>
      <c r="E921" s="11" t="s">
        <v>2026</v>
      </c>
      <c r="F921" s="211">
        <v>200000000</v>
      </c>
      <c r="G921" s="212" t="s">
        <v>35</v>
      </c>
      <c r="H921" s="213">
        <v>500000000</v>
      </c>
      <c r="I921" s="213">
        <v>700000000</v>
      </c>
      <c r="J921" s="213">
        <v>315000000</v>
      </c>
      <c r="K921" s="212" t="s">
        <v>314</v>
      </c>
      <c r="L921" s="212" t="s">
        <v>314</v>
      </c>
      <c r="M921" s="212" t="s">
        <v>315</v>
      </c>
      <c r="N921" s="212" t="s">
        <v>448</v>
      </c>
      <c r="O921" s="214">
        <v>0</v>
      </c>
      <c r="P921" s="13">
        <f t="shared" ref="F921:P921" si="294">+P922</f>
        <v>0</v>
      </c>
      <c r="Q921" s="183" t="e">
        <f t="shared" si="274"/>
        <v>#DIV/0!</v>
      </c>
      <c r="R921" s="349">
        <f>+R922</f>
        <v>0</v>
      </c>
    </row>
    <row r="922" spans="1:18">
      <c r="A922" s="101"/>
      <c r="B922" s="102" t="s">
        <v>2027</v>
      </c>
      <c r="C922" s="101" t="s">
        <v>2028</v>
      </c>
      <c r="D922" s="26" t="s">
        <v>1250</v>
      </c>
      <c r="E922" s="23" t="s">
        <v>2029</v>
      </c>
      <c r="F922" s="216">
        <v>200000000</v>
      </c>
      <c r="G922" s="217" t="s">
        <v>48</v>
      </c>
      <c r="H922" s="218">
        <v>500000000</v>
      </c>
      <c r="I922" s="218">
        <v>700000000</v>
      </c>
      <c r="J922" s="218">
        <v>315000000</v>
      </c>
      <c r="K922" s="217" t="s">
        <v>112</v>
      </c>
      <c r="L922" s="217" t="s">
        <v>112</v>
      </c>
      <c r="M922" s="217" t="s">
        <v>113</v>
      </c>
      <c r="N922" s="217" t="s">
        <v>114</v>
      </c>
      <c r="O922" s="219">
        <v>0</v>
      </c>
      <c r="P922" s="15"/>
      <c r="Q922" s="183" t="e">
        <f t="shared" si="274"/>
        <v>#DIV/0!</v>
      </c>
      <c r="R922" s="359"/>
    </row>
  </sheetData>
  <protectedRanges>
    <protectedRange sqref="A586:B586 E586 E627 E630 O710 O654 O657 O624 O660 O645 O586 O647:P647 A727:E728 A689:E691 A678:E680 A668:E669 A662:E663 A657:E657 A660:E660 A645:E645 A631:E631 A628:E628 A624:E624 A621:E622 A710:E710 A647:E649 A654:E654 S662:XFD663 S710:XFD710 S654:XFD654 S627:XFD628 S630:XFD631 S727:XFD728 S657:XFD657 S678:XFD680 S624:XFD624 S660:XFD660 S621:XFD622 S645:XFD645 S586:XFD586 S689:XFD691 S668:XFD669 S647:XFD649 O627:O628 O630:O631 O662:O663 O668:O669 O727:O728 O648:O649 O621:O622 O678:O680 O689:O691 R647" name="Rango5"/>
    <protectedRange sqref="E435 O618 O525:P525 O540 O469 O538 O458:P458 O513 O498 O545 O571 O454 O485 O503 O563 O435:P435 A618:E618 A630:D630 A627:D627 C616:D616 C610:D610 C608:D608 C604:D604 C601:D601 C586:D586 A571:E571 C569:D569 C567:D567 C565:D565 A563:E563 C559:D561 A548:E551 A545:E545 A540:E540 A538:E538 A529:E531 A525:E526 A516:E517 A513:E513 A488:E489 A485:E485 A469:E469 A457:E459 A454:E454 A436:E439 A503:E503 A498:E498 A430:E433 A492:E495 S618:XFD618 S525:XFD526 S540:XFD540 S469:XFD469 S538:XFD538 S457:XFD459 S513:XFD513 S498:XFD498 S488:XFD489 S545:XFD545 S571:XFD571 S454:XFD454 S485:XFD485 S516:XFD517 S503:XFD503 S563:XFD563 S529:XFD531 S548:XFD551 S426:XFD433 S435:XFD439 S492:XFD495 E426:E427 O425:P425 O457 O488:O489 O492:O495 O516:O517 O526 O529:O531 O427:P429 O426 O459 O548:O551 O430:O433 O436:O439 R525 R458 R435 R425 R427:R429" name="Rango4"/>
    <protectedRange sqref="D420:D421 O351:O355 D423 A351:E356 A420:C423 O397 O399 P353 O403:P403 O394 O408:P409 A426:D427 A407:E408 A399:E399 A397:E397 A394:E394 A385:E387 A378:E382 A368:E372 A435:D435 A402:E403 A360:D363 S385:XFD387 S397:XFD397 S368:XFD372 S399:XFD399 S351:XFD356 S402:XFD403 S394:XFD394 S378:XFD382 S407:XFD414 C425 A428:C429 A410:E414 A409:C409 O385:O387 O402 O407 O412:P413 O368:O372 O414 O378:O382 O410:O411 R353 R403 R408:R409 R412:R413" name="Rango3"/>
    <protectedRange sqref="O202 O327 O274 O256 C344:E344 A334:E335 A316:E318 A327:E327 C309:D309 A298:E300 C291:E291 A281:E282 A274:E274 A263:E265 A256:E256 A245:E247 C238:E238 A228:E229 C221:E221 A209:E212 A202:E202 A192:E193 C185:E185 A174:E176 C167:E167 A157:E158 C150:E150 A136:E140 S192:XFD193 S202:XFD202 S327:XFD327 S157:XFD158 S334:XFD335 S136:XFD140 S209:XFD212 S174:XFD176 S316:XFD318 S298:XFD300 S263:XFD265 S245:XFD247 S281:XFD282 S274:XFD274 S256:XFD256 S228:XFD229 O136:O140 O157:O158 O209:O212 O228:O229 O245:O247 O263:O265 O281:O282 O298:O300 O316:O318 O334:O335 O174:O176 O192:O193" name="Rango2"/>
    <protectedRange algorithmName="SHA-512" hashValue="/yOoSJ0JfP+uHcKjxjbuNCQZ/yCSSPUNYy8yW+UIm5HOAGfwSmNQyz0FOeJAqkyoET2ZmH/OAMFEuNR0Rn/MMQ==" saltValue="EUZHpkbFDytx+5nx/y3tRw==" spinCount="100000" sqref="A57:B58 A14:B20 A100:B101 A71:B72 A27:B28 A24:B25 A52:B53 A61:B63 A67:B67 A76:B77 A81:B81 A85:B86 A90:B91 A104:B107 A30:B31 A33:B34 A95:B96 O45 O67 O81 S14:XFD20 S90:XFD91 S33:XFD34 S30:XFD31 S36:XFD37 S24:XFD25 S27:XFD28 S95:XFD96 S104:XFD107 S40:XFD41 S45:XFD45 S49:XFD50 S52:XFD53 S57:XFD58 S61:XFD63 S67:XFD67 S71:XFD72 S76:XFD77 S81:XFD81 S85:XFD86 S100:XFD101 O100:O101 O52:O53 O14:O20 O24:O25 O27:O28 O30:O31 O33:O34 O36:O37 O40:O41 O49:O50 O57:O58 O61:O63 O71:O72 O76:O77 O85:O86 O90:O91 O95:O96 O104:O107" name="Rango1"/>
    <protectedRange sqref="F872:N873 F876:N877 F887:N889 F896:N897 F869:N869 F891:N891 P891 P869 P872:P873 P863:P866 P876:P877 P881:P882 P887:P889 P896:P897 F863:N866 F881:N882 R891 R869 R872:R873 R863:R866 R876:R877 R881:R882 R887:R889 R896:R897" name="Rango7_1"/>
    <protectedRange sqref="F843:N843 F840:N840 F742:N743 F792:N794 F825:N826 F836:N838 F739:N739 F747:N747 F750:N750 F771:N774 F829:N829 F735:N736 F797:N798 F781:N781 F757:N757 F768:N768 F803:N803 P747 P750 P803 P735:P736 P797:P798 P825:P826 P829 P739 P742:P743 P757 P768 P781 P836:P838 P843 P840 P792:P794 P771:P774 R747 R750 R803 R735:R736 R797:R798 R825:R826 R829 R739 R742:R743 R757 R768 R781 R836:R838 R843 R840 R792:R794 R771:R774" name="Rango6_1"/>
    <protectedRange sqref="F710:N710 F654:N654 F662:N663 F630:N631 F645:N645 F678:N680 F668:N669 F621:N622 F627:N628 F657:N657 F727:N728 F624:N624 F586:N586 F660:N660 F647:N649 F689:N691 P654 P657 P648:P649 P662:P663 P727:P728 P586 P624 P627:P628 P630:P631 P645 P660 P668:P669 P710 P621:P622 P678:P680 P689:P691 R654 R657 R648:R649 R662:R663 R727:R728 R586 R624 R627:R628 R630:R631 R645 R660 R668:R669 R710 R621:R622 R678:R680 R689:R691" name="Rango5_1"/>
    <protectedRange sqref="F529:N531 F571:N571 F563:N563 F516:N517 F525:N526 F469:N469 F540:N540 F538:N538 F513:N513 F498:N498 F492:N495 F488:N489 F485:N485 F454:N454 F436:N439 F618:N618 F545:N545 F548:N551 F457:N459 F503:N503 F425:N433 P454 P513 P457 P485 P526 P538 P426 P459 P469 P488:P489 P516:P517 P540 P545 P563 P571 P618 P430:P433 P436:P439 P529:P531 P492:P495 P498 P503 P548:P551 R454 R513 R457 R485 R526 R538 R426 R459 R469 R488:R489 R516:R517 R540 R545 R563 R571 R618 R430:R433 R436:R439 R529:R531 R492:R495 R498 R503 R548:R551" name="Rango4_1"/>
    <protectedRange sqref="F399:N399 F394:N394 F397:N397 F385:N387 F402:N403 F378:N382 F368:N372 F407:N414 F356:O356 P394 P399 P402 P407 P351:P352 P397 P414 P354:P356 P368:P372 P378:P382 P385:P387 P410:P411 F351:N355 R394 R399 R402 R407 R351:R352 R397 R414 R354:R356 R368:R372 R378:R382 R385:R387 R410:R411" name="Rango3_1"/>
    <protectedRange sqref="F245:N247 F263:N265 F298:N300 F316:N318 F192:N193 F334:N335 F228:N229 F256:N256 F327:N327 F274:N274 F281:N282 F202:N202 F209:N212 F174:N176 F157:N158 P136:P140 P157:P158 P202 P209:P212 P228:P229 P245:P247 P256 P263:P265 P274 P281:P282 P298:P300 P316:P318 P327 P334:P335 P174:P176 P192:P193 F136:N140 R136:R140 R157:R158 R202 R209:R212 R228:R229 R245:R247 R256 R263:R265 R274 R281:R282 R298:R300 R316:R318 R327 R334:R335 R174:R176 R192:R193" name="Rango2_1"/>
    <protectedRange algorithmName="SHA-512" hashValue="/yOoSJ0JfP+uHcKjxjbuNCQZ/yCSSPUNYy8yW+UIm5HOAGfwSmNQyz0FOeJAqkyoET2ZmH/OAMFEuNR0Rn/MMQ==" saltValue="EUZHpkbFDytx+5nx/y3tRw==" spinCount="100000" sqref="F61:N63 F67:N67 F71:N72 F76:N77 F81:N81 F85:N86 F90:N91 F100:N101 F52:N53 F57:N58 F24:N25 F27:N28 F40:N41 F45:N45 F49:N50 F36:N37 F104:N107 F30:N31 F33:N34 F95:N96 P900 P52:P53 P100:P101 P14:P20 P24:P25 P27:P28 P30:P31 P33:P34 P36:P37 P40:P41 P45 P49:P50 P57:P58 P61:P63 P67 P71:P72 P76:P77 P81 P85:P86 P90:P91 P95:P96 P104:P107 N900 L900 J900 H900 F900 F14:N20 R900 R52:R53 R100:R101 R14:R20 R24:R25 R27:R28 R30:R31 R33:R34 R36:R37 R40:R41 R45 R49:R50 R57:R58 R61:R63 R67 R71:R72 R76:R77 R81 R85:R86 R90:R91 R95:R96 R104:R107" name="Rango1_1"/>
    <protectedRange algorithmName="SHA-512" hashValue="/yOoSJ0JfP+uHcKjxjbuNCQZ/yCSSPUNYy8yW+UIm5HOAGfwSmNQyz0FOeJAqkyoET2ZmH/OAMFEuNR0Rn/MMQ==" saltValue="EUZHpkbFDytx+5nx/y3tRw==" spinCount="100000" sqref="E36:E37 C40:E41 C90:E91 C85:E86 C81:E81 C76:E77 C67:E67 C61:E63 C52:E53 C49:E50 C45:E45 C36:C37 C24:E25 C27:E28 C71:E72 C100:E101 C14:E20 C57:E58 C104:E107 C30:E31 C33:E34 C95:E96" name="Rango1_2"/>
    <protectedRange sqref="A901 E901 C901" name="Rango8_3"/>
    <protectedRange sqref="F901:N901 P901 R901" name="Rango8_1_2"/>
    <protectedRange sqref="E914:E919 E921 A921 A914:A919 C921 C914:C919" name="Rango8_4"/>
    <protectedRange sqref="F921:N921 F914:N919 P921 P914:P919 R921 R914:R919" name="Rango8_1_3"/>
  </protectedRanges>
  <autoFilter ref="C11:Q922" xr:uid="{29856455-7EED-4247-9D3C-AF67FC3EBAFB}">
    <filterColumn colId="4" showButton="0"/>
    <filterColumn colId="13" showButton="0"/>
  </autoFilter>
  <mergeCells count="21">
    <mergeCell ref="P11:Q11"/>
    <mergeCell ref="F10:I10"/>
    <mergeCell ref="K10:L10"/>
    <mergeCell ref="M10:N10"/>
    <mergeCell ref="C10:E10"/>
    <mergeCell ref="C2:O2"/>
    <mergeCell ref="C3:O3"/>
    <mergeCell ref="C4:O4"/>
    <mergeCell ref="J11:J12"/>
    <mergeCell ref="K11:K12"/>
    <mergeCell ref="L11:L12"/>
    <mergeCell ref="M11:M12"/>
    <mergeCell ref="N11:N12"/>
    <mergeCell ref="A11:A12"/>
    <mergeCell ref="B11:B12"/>
    <mergeCell ref="F11:F12"/>
    <mergeCell ref="G11:H11"/>
    <mergeCell ref="I11:I12"/>
    <mergeCell ref="D11:D12"/>
    <mergeCell ref="E11:E12"/>
    <mergeCell ref="C11:C12"/>
  </mergeCells>
  <conditionalFormatting sqref="D109">
    <cfRule type="duplicateValues" dxfId="153" priority="390"/>
  </conditionalFormatting>
  <conditionalFormatting sqref="D111">
    <cfRule type="duplicateValues" dxfId="152" priority="391"/>
  </conditionalFormatting>
  <conditionalFormatting sqref="D113:D116">
    <cfRule type="duplicateValues" dxfId="151" priority="392"/>
  </conditionalFormatting>
  <conditionalFormatting sqref="D118">
    <cfRule type="duplicateValues" dxfId="150" priority="393"/>
  </conditionalFormatting>
  <conditionalFormatting sqref="D120">
    <cfRule type="duplicateValues" dxfId="149" priority="394"/>
  </conditionalFormatting>
  <conditionalFormatting sqref="D122">
    <cfRule type="duplicateValues" dxfId="148" priority="395"/>
  </conditionalFormatting>
  <conditionalFormatting sqref="D124">
    <cfRule type="duplicateValues" dxfId="147" priority="396"/>
  </conditionalFormatting>
  <conditionalFormatting sqref="D126">
    <cfRule type="duplicateValues" dxfId="146" priority="397"/>
  </conditionalFormatting>
  <conditionalFormatting sqref="D128">
    <cfRule type="duplicateValues" dxfId="145" priority="398"/>
  </conditionalFormatting>
  <conditionalFormatting sqref="D130">
    <cfRule type="duplicateValues" dxfId="144" priority="399"/>
  </conditionalFormatting>
  <conditionalFormatting sqref="D132">
    <cfRule type="duplicateValues" dxfId="143" priority="400"/>
  </conditionalFormatting>
  <conditionalFormatting sqref="D134:D135">
    <cfRule type="duplicateValues" dxfId="142" priority="401"/>
  </conditionalFormatting>
  <conditionalFormatting sqref="D357:D358">
    <cfRule type="duplicateValues" dxfId="141" priority="39"/>
  </conditionalFormatting>
  <conditionalFormatting sqref="D365">
    <cfRule type="duplicateValues" dxfId="140" priority="402"/>
  </conditionalFormatting>
  <conditionalFormatting sqref="D367">
    <cfRule type="duplicateValues" dxfId="139" priority="403"/>
  </conditionalFormatting>
  <conditionalFormatting sqref="D373:D375 D377">
    <cfRule type="duplicateValues" dxfId="138" priority="404"/>
  </conditionalFormatting>
  <conditionalFormatting sqref="D376">
    <cfRule type="duplicateValues" dxfId="137" priority="42"/>
  </conditionalFormatting>
  <conditionalFormatting sqref="D383:D384">
    <cfRule type="duplicateValues" dxfId="136" priority="405"/>
  </conditionalFormatting>
  <conditionalFormatting sqref="D388:D391">
    <cfRule type="duplicateValues" dxfId="135" priority="406"/>
  </conditionalFormatting>
  <conditionalFormatting sqref="D396">
    <cfRule type="duplicateValues" dxfId="134" priority="407"/>
  </conditionalFormatting>
  <conditionalFormatting sqref="D398">
    <cfRule type="duplicateValues" dxfId="133" priority="408"/>
  </conditionalFormatting>
  <conditionalFormatting sqref="D401">
    <cfRule type="duplicateValues" dxfId="132" priority="409"/>
  </conditionalFormatting>
  <conditionalFormatting sqref="D406">
    <cfRule type="duplicateValues" dxfId="131" priority="410"/>
  </conditionalFormatting>
  <conditionalFormatting sqref="D415:D416">
    <cfRule type="duplicateValues" dxfId="130" priority="411"/>
  </conditionalFormatting>
  <conditionalFormatting sqref="D419">
    <cfRule type="duplicateValues" dxfId="129" priority="412"/>
  </conditionalFormatting>
  <conditionalFormatting sqref="D422">
    <cfRule type="duplicateValues" dxfId="128" priority="413"/>
  </conditionalFormatting>
  <conditionalFormatting sqref="D435">
    <cfRule type="duplicateValues" dxfId="127" priority="414"/>
  </conditionalFormatting>
  <conditionalFormatting sqref="D440:D452">
    <cfRule type="duplicateValues" dxfId="126" priority="415"/>
  </conditionalFormatting>
  <conditionalFormatting sqref="D456">
    <cfRule type="duplicateValues" dxfId="125" priority="418"/>
  </conditionalFormatting>
  <conditionalFormatting sqref="D460:D468">
    <cfRule type="duplicateValues" dxfId="124" priority="416"/>
  </conditionalFormatting>
  <conditionalFormatting sqref="D470:D483">
    <cfRule type="duplicateValues" dxfId="123" priority="417"/>
  </conditionalFormatting>
  <conditionalFormatting sqref="D490:D491">
    <cfRule type="duplicateValues" dxfId="122" priority="419"/>
  </conditionalFormatting>
  <conditionalFormatting sqref="D497">
    <cfRule type="duplicateValues" dxfId="121" priority="420"/>
  </conditionalFormatting>
  <conditionalFormatting sqref="D500">
    <cfRule type="duplicateValues" dxfId="120" priority="421"/>
  </conditionalFormatting>
  <conditionalFormatting sqref="D502">
    <cfRule type="duplicateValues" dxfId="119" priority="422"/>
  </conditionalFormatting>
  <conditionalFormatting sqref="D505">
    <cfRule type="duplicateValues" dxfId="118" priority="423"/>
  </conditionalFormatting>
  <conditionalFormatting sqref="D507">
    <cfRule type="duplicateValues" dxfId="117" priority="424"/>
  </conditionalFormatting>
  <conditionalFormatting sqref="D509">
    <cfRule type="duplicateValues" dxfId="116" priority="41"/>
  </conditionalFormatting>
  <conditionalFormatting sqref="D511">
    <cfRule type="duplicateValues" dxfId="115" priority="40"/>
  </conditionalFormatting>
  <conditionalFormatting sqref="D512">
    <cfRule type="duplicateValues" dxfId="114" priority="425"/>
  </conditionalFormatting>
  <conditionalFormatting sqref="D515">
    <cfRule type="duplicateValues" dxfId="113" priority="426"/>
  </conditionalFormatting>
  <conditionalFormatting sqref="D518:D524">
    <cfRule type="duplicateValues" dxfId="112" priority="427"/>
  </conditionalFormatting>
  <conditionalFormatting sqref="D528">
    <cfRule type="duplicateValues" dxfId="111" priority="428"/>
  </conditionalFormatting>
  <conditionalFormatting sqref="D532:D537">
    <cfRule type="duplicateValues" dxfId="110" priority="429"/>
  </conditionalFormatting>
  <conditionalFormatting sqref="D541:D543">
    <cfRule type="duplicateValues" dxfId="109" priority="430"/>
  </conditionalFormatting>
  <conditionalFormatting sqref="D546:D547">
    <cfRule type="duplicateValues" dxfId="108" priority="431"/>
  </conditionalFormatting>
  <conditionalFormatting sqref="D552:D558">
    <cfRule type="duplicateValues" dxfId="107" priority="432"/>
  </conditionalFormatting>
  <conditionalFormatting sqref="D560">
    <cfRule type="duplicateValues" dxfId="106" priority="433"/>
  </conditionalFormatting>
  <conditionalFormatting sqref="D562">
    <cfRule type="duplicateValues" dxfId="105" priority="434"/>
  </conditionalFormatting>
  <conditionalFormatting sqref="D564">
    <cfRule type="duplicateValues" dxfId="104" priority="435"/>
  </conditionalFormatting>
  <conditionalFormatting sqref="D566">
    <cfRule type="duplicateValues" dxfId="103" priority="436"/>
  </conditionalFormatting>
  <conditionalFormatting sqref="D568">
    <cfRule type="duplicateValues" dxfId="102" priority="437"/>
  </conditionalFormatting>
  <conditionalFormatting sqref="D570">
    <cfRule type="duplicateValues" dxfId="101" priority="438"/>
  </conditionalFormatting>
  <conditionalFormatting sqref="D572:D585">
    <cfRule type="duplicateValues" dxfId="100" priority="113"/>
  </conditionalFormatting>
  <conditionalFormatting sqref="D587:D600">
    <cfRule type="duplicateValues" dxfId="99" priority="440"/>
  </conditionalFormatting>
  <conditionalFormatting sqref="D602:D603">
    <cfRule type="duplicateValues" dxfId="98" priority="441"/>
  </conditionalFormatting>
  <conditionalFormatting sqref="D605:D607">
    <cfRule type="duplicateValues" dxfId="97" priority="442"/>
  </conditionalFormatting>
  <conditionalFormatting sqref="D609">
    <cfRule type="duplicateValues" dxfId="96" priority="443"/>
  </conditionalFormatting>
  <conditionalFormatting sqref="D611:D615">
    <cfRule type="duplicateValues" dxfId="95" priority="444"/>
  </conditionalFormatting>
  <conditionalFormatting sqref="D617">
    <cfRule type="duplicateValues" dxfId="94" priority="445"/>
  </conditionalFormatting>
  <conditionalFormatting sqref="D619:D620">
    <cfRule type="duplicateValues" dxfId="93" priority="446"/>
  </conditionalFormatting>
  <conditionalFormatting sqref="D623">
    <cfRule type="duplicateValues" dxfId="92" priority="447"/>
  </conditionalFormatting>
  <conditionalFormatting sqref="D625:D626">
    <cfRule type="duplicateValues" dxfId="91" priority="448"/>
  </conditionalFormatting>
  <conditionalFormatting sqref="D629">
    <cfRule type="duplicateValues" dxfId="90" priority="449"/>
  </conditionalFormatting>
  <conditionalFormatting sqref="D632:D639">
    <cfRule type="duplicateValues" dxfId="89" priority="450"/>
  </conditionalFormatting>
  <conditionalFormatting sqref="D646">
    <cfRule type="duplicateValues" dxfId="88" priority="451"/>
  </conditionalFormatting>
  <conditionalFormatting sqref="D651">
    <cfRule type="duplicateValues" dxfId="87" priority="452"/>
  </conditionalFormatting>
  <conditionalFormatting sqref="D653">
    <cfRule type="duplicateValues" dxfId="86" priority="453"/>
  </conditionalFormatting>
  <conditionalFormatting sqref="D656">
    <cfRule type="duplicateValues" dxfId="85" priority="454"/>
  </conditionalFormatting>
  <conditionalFormatting sqref="D659">
    <cfRule type="duplicateValues" dxfId="84" priority="455"/>
  </conditionalFormatting>
  <conditionalFormatting sqref="D661">
    <cfRule type="duplicateValues" dxfId="83" priority="456"/>
  </conditionalFormatting>
  <conditionalFormatting sqref="D665">
    <cfRule type="duplicateValues" dxfId="82" priority="457"/>
  </conditionalFormatting>
  <conditionalFormatting sqref="D667">
    <cfRule type="duplicateValues" dxfId="81" priority="458"/>
  </conditionalFormatting>
  <conditionalFormatting sqref="D670:D672">
    <cfRule type="duplicateValues" dxfId="80" priority="459"/>
  </conditionalFormatting>
  <conditionalFormatting sqref="D675">
    <cfRule type="duplicateValues" dxfId="79" priority="460"/>
  </conditionalFormatting>
  <conditionalFormatting sqref="D677">
    <cfRule type="duplicateValues" dxfId="78" priority="461"/>
  </conditionalFormatting>
  <conditionalFormatting sqref="D681:D687">
    <cfRule type="duplicateValues" dxfId="77" priority="462"/>
  </conditionalFormatting>
  <conditionalFormatting sqref="D692:D707">
    <cfRule type="duplicateValues" dxfId="76" priority="463"/>
  </conditionalFormatting>
  <conditionalFormatting sqref="D711:D722">
    <cfRule type="duplicateValues" dxfId="75" priority="464"/>
  </conditionalFormatting>
  <conditionalFormatting sqref="D730">
    <cfRule type="duplicateValues" dxfId="74" priority="465"/>
  </conditionalFormatting>
  <conditionalFormatting sqref="D732">
    <cfRule type="duplicateValues" dxfId="73" priority="466"/>
  </conditionalFormatting>
  <conditionalFormatting sqref="D734">
    <cfRule type="duplicateValues" dxfId="72" priority="467"/>
  </conditionalFormatting>
  <conditionalFormatting sqref="D738">
    <cfRule type="duplicateValues" dxfId="71" priority="468"/>
  </conditionalFormatting>
  <conditionalFormatting sqref="D740:D741">
    <cfRule type="duplicateValues" dxfId="70" priority="469"/>
  </conditionalFormatting>
  <conditionalFormatting sqref="D744:D746">
    <cfRule type="duplicateValues" dxfId="69" priority="470"/>
  </conditionalFormatting>
  <conditionalFormatting sqref="D749">
    <cfRule type="duplicateValues" dxfId="68" priority="471"/>
  </conditionalFormatting>
  <conditionalFormatting sqref="D752">
    <cfRule type="duplicateValues" dxfId="67" priority="472"/>
  </conditionalFormatting>
  <conditionalFormatting sqref="D754">
    <cfRule type="duplicateValues" dxfId="66" priority="473"/>
  </conditionalFormatting>
  <conditionalFormatting sqref="D758">
    <cfRule type="duplicateValues" dxfId="65" priority="474"/>
  </conditionalFormatting>
  <conditionalFormatting sqref="D760">
    <cfRule type="duplicateValues" dxfId="64" priority="475"/>
  </conditionalFormatting>
  <conditionalFormatting sqref="D762">
    <cfRule type="duplicateValues" dxfId="63" priority="476"/>
  </conditionalFormatting>
  <conditionalFormatting sqref="D765">
    <cfRule type="duplicateValues" dxfId="62" priority="477"/>
  </conditionalFormatting>
  <conditionalFormatting sqref="D767">
    <cfRule type="duplicateValues" dxfId="61" priority="478"/>
  </conditionalFormatting>
  <conditionalFormatting sqref="D769">
    <cfRule type="duplicateValues" dxfId="60" priority="479"/>
  </conditionalFormatting>
  <conditionalFormatting sqref="D775:D778">
    <cfRule type="duplicateValues" dxfId="59" priority="480"/>
  </conditionalFormatting>
  <conditionalFormatting sqref="D782:D789">
    <cfRule type="duplicateValues" dxfId="58" priority="481"/>
  </conditionalFormatting>
  <conditionalFormatting sqref="D796">
    <cfRule type="duplicateValues" dxfId="57" priority="482"/>
  </conditionalFormatting>
  <conditionalFormatting sqref="D800">
    <cfRule type="duplicateValues" dxfId="56" priority="483"/>
  </conditionalFormatting>
  <conditionalFormatting sqref="D805">
    <cfRule type="duplicateValues" dxfId="55" priority="484"/>
  </conditionalFormatting>
  <conditionalFormatting sqref="D807">
    <cfRule type="duplicateValues" dxfId="54" priority="485"/>
  </conditionalFormatting>
  <conditionalFormatting sqref="D809">
    <cfRule type="duplicateValues" dxfId="53" priority="486"/>
  </conditionalFormatting>
  <conditionalFormatting sqref="D811">
    <cfRule type="duplicateValues" dxfId="52" priority="487"/>
  </conditionalFormatting>
  <conditionalFormatting sqref="D813">
    <cfRule type="duplicateValues" dxfId="51" priority="488"/>
  </conditionalFormatting>
  <conditionalFormatting sqref="D815">
    <cfRule type="duplicateValues" dxfId="50" priority="489"/>
  </conditionalFormatting>
  <conditionalFormatting sqref="D817">
    <cfRule type="duplicateValues" dxfId="49" priority="490"/>
  </conditionalFormatting>
  <conditionalFormatting sqref="D819">
    <cfRule type="duplicateValues" dxfId="48" priority="491"/>
  </conditionalFormatting>
  <conditionalFormatting sqref="D821">
    <cfRule type="duplicateValues" dxfId="47" priority="492"/>
  </conditionalFormatting>
  <conditionalFormatting sqref="D828">
    <cfRule type="duplicateValues" dxfId="46" priority="493"/>
  </conditionalFormatting>
  <conditionalFormatting sqref="D831">
    <cfRule type="duplicateValues" dxfId="45" priority="494"/>
  </conditionalFormatting>
  <conditionalFormatting sqref="D833">
    <cfRule type="duplicateValues" dxfId="44" priority="495"/>
  </conditionalFormatting>
  <conditionalFormatting sqref="D835">
    <cfRule type="duplicateValues" dxfId="43" priority="496"/>
  </conditionalFormatting>
  <conditionalFormatting sqref="D839">
    <cfRule type="duplicateValues" dxfId="42" priority="497"/>
  </conditionalFormatting>
  <conditionalFormatting sqref="D842">
    <cfRule type="duplicateValues" dxfId="41" priority="498"/>
  </conditionalFormatting>
  <conditionalFormatting sqref="D844:D854">
    <cfRule type="duplicateValues" dxfId="40" priority="499"/>
  </conditionalFormatting>
  <conditionalFormatting sqref="D860:D862">
    <cfRule type="duplicateValues" dxfId="39" priority="500"/>
  </conditionalFormatting>
  <conditionalFormatting sqref="D868">
    <cfRule type="duplicateValues" dxfId="38" priority="501"/>
  </conditionalFormatting>
  <conditionalFormatting sqref="D871">
    <cfRule type="duplicateValues" dxfId="37" priority="502"/>
  </conditionalFormatting>
  <conditionalFormatting sqref="D875">
    <cfRule type="duplicateValues" dxfId="36" priority="503"/>
  </conditionalFormatting>
  <conditionalFormatting sqref="D879">
    <cfRule type="duplicateValues" dxfId="35" priority="504"/>
  </conditionalFormatting>
  <conditionalFormatting sqref="D884">
    <cfRule type="duplicateValues" dxfId="34" priority="505"/>
  </conditionalFormatting>
  <conditionalFormatting sqref="D886">
    <cfRule type="duplicateValues" dxfId="33" priority="506"/>
  </conditionalFormatting>
  <conditionalFormatting sqref="D893">
    <cfRule type="duplicateValues" dxfId="32" priority="507"/>
  </conditionalFormatting>
  <conditionalFormatting sqref="D895">
    <cfRule type="duplicateValues" dxfId="31" priority="508"/>
  </conditionalFormatting>
  <conditionalFormatting sqref="D673">
    <cfRule type="duplicateValues" dxfId="30" priority="38"/>
  </conditionalFormatting>
  <conditionalFormatting sqref="D392">
    <cfRule type="duplicateValues" dxfId="29" priority="37"/>
  </conditionalFormatting>
  <conditionalFormatting sqref="D708">
    <cfRule type="duplicateValues" dxfId="28" priority="36"/>
  </conditionalFormatting>
  <conditionalFormatting sqref="D855">
    <cfRule type="duplicateValues" dxfId="27" priority="33"/>
  </conditionalFormatting>
  <conditionalFormatting sqref="D790">
    <cfRule type="duplicateValues" dxfId="26" priority="32"/>
  </conditionalFormatting>
  <conditionalFormatting sqref="D640">
    <cfRule type="duplicateValues" dxfId="25" priority="31"/>
  </conditionalFormatting>
  <conditionalFormatting sqref="D641">
    <cfRule type="duplicateValues" dxfId="24" priority="30"/>
  </conditionalFormatting>
  <conditionalFormatting sqref="D856">
    <cfRule type="duplicateValues" dxfId="23" priority="29"/>
  </conditionalFormatting>
  <conditionalFormatting sqref="D425">
    <cfRule type="duplicateValues" dxfId="22" priority="28"/>
  </conditionalFormatting>
  <conditionalFormatting sqref="D428">
    <cfRule type="duplicateValues" dxfId="21" priority="27"/>
  </conditionalFormatting>
  <conditionalFormatting sqref="D453">
    <cfRule type="duplicateValues" dxfId="20" priority="26"/>
  </conditionalFormatting>
  <conditionalFormatting sqref="D857">
    <cfRule type="duplicateValues" dxfId="19" priority="25"/>
  </conditionalFormatting>
  <conditionalFormatting sqref="D791">
    <cfRule type="duplicateValues" dxfId="18" priority="24"/>
  </conditionalFormatting>
  <conditionalFormatting sqref="D409">
    <cfRule type="duplicateValues" dxfId="17" priority="23"/>
  </conditionalFormatting>
  <conditionalFormatting sqref="D802">
    <cfRule type="duplicateValues" dxfId="16" priority="21"/>
  </conditionalFormatting>
  <conditionalFormatting sqref="D858">
    <cfRule type="duplicateValues" dxfId="15" priority="20"/>
  </conditionalFormatting>
  <conditionalFormatting sqref="D723">
    <cfRule type="duplicateValues" dxfId="14" priority="17"/>
  </conditionalFormatting>
  <conditionalFormatting sqref="D724">
    <cfRule type="duplicateValues" dxfId="13" priority="15"/>
  </conditionalFormatting>
  <conditionalFormatting sqref="D642">
    <cfRule type="duplicateValues" dxfId="12" priority="14"/>
  </conditionalFormatting>
  <conditionalFormatting sqref="D770">
    <cfRule type="duplicateValues" dxfId="11" priority="13"/>
  </conditionalFormatting>
  <conditionalFormatting sqref="D709">
    <cfRule type="duplicateValues" dxfId="10" priority="12"/>
  </conditionalFormatting>
  <conditionalFormatting sqref="D643">
    <cfRule type="duplicateValues" dxfId="9" priority="11"/>
  </conditionalFormatting>
  <conditionalFormatting sqref="D487">
    <cfRule type="duplicateValues" dxfId="8" priority="9"/>
  </conditionalFormatting>
  <conditionalFormatting sqref="D779">
    <cfRule type="duplicateValues" dxfId="7" priority="8"/>
  </conditionalFormatting>
  <conditionalFormatting sqref="D427">
    <cfRule type="duplicateValues" dxfId="6" priority="7"/>
  </conditionalFormatting>
  <conditionalFormatting sqref="D429">
    <cfRule type="duplicateValues" dxfId="5" priority="6"/>
  </conditionalFormatting>
  <conditionalFormatting sqref="D484">
    <cfRule type="duplicateValues" dxfId="4" priority="5"/>
  </conditionalFormatting>
  <conditionalFormatting sqref="D780">
    <cfRule type="duplicateValues" dxfId="3" priority="4"/>
  </conditionalFormatting>
  <conditionalFormatting sqref="D359">
    <cfRule type="duplicateValues" dxfId="2" priority="3"/>
  </conditionalFormatting>
  <conditionalFormatting sqref="D644">
    <cfRule type="duplicateValues" dxfId="1" priority="2"/>
  </conditionalFormatting>
  <conditionalFormatting sqref="D688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Jairo H Torres A</dc:creator>
  <cp:keywords/>
  <dc:description/>
  <cp:lastModifiedBy>KAREN ALEJANDRA RIVERA ROJAS</cp:lastModifiedBy>
  <cp:revision/>
  <dcterms:created xsi:type="dcterms:W3CDTF">2023-07-12T15:59:24Z</dcterms:created>
  <dcterms:modified xsi:type="dcterms:W3CDTF">2025-11-18T20:52:26Z</dcterms:modified>
  <cp:category/>
  <cp:contentStatus/>
</cp:coreProperties>
</file>